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7.xml" ContentType="application/vnd.openxmlformats-officedocument.drawingml.chart+xml"/>
  <Override PartName="/xl/drawings/drawing21.xml" ContentType="application/vnd.openxmlformats-officedocument.drawing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SIAU.HDTUU\Desktop\ANTERIOR-SIAU-COMPARTIDA\2023 SIAU -ELENA\INFORMES 2023 -2024\INFORMES 2024\SIAU 2024\ENCUESTAS DE SATISFACCION\ENCUESTAS 2026\"/>
    </mc:Choice>
  </mc:AlternateContent>
  <xr:revisionPtr revIDLastSave="0" documentId="13_ncr:1_{2D26703D-7754-443A-971E-63520635E860}" xr6:coauthVersionLast="47" xr6:coauthVersionMax="47" xr10:uidLastSave="{00000000-0000-0000-0000-000000000000}"/>
  <bookViews>
    <workbookView xWindow="-108" yWindow="-108" windowWidth="23256" windowHeight="12576" tabRatio="992" activeTab="3" xr2:uid="{00000000-000D-0000-FFFF-FFFF00000000}"/>
  </bookViews>
  <sheets>
    <sheet name="Ambulatorio" sheetId="1" r:id="rId1"/>
    <sheet name="Hospitalización" sheetId="24" r:id="rId2"/>
    <sheet name="RECOMENDARIA" sheetId="23" r:id="rId3"/>
    <sheet name="SATISFACCIÓN " sheetId="3" r:id="rId4"/>
    <sheet name="EDAD" sheetId="5" r:id="rId5"/>
    <sheet name="SEXO" sheetId="6" r:id="rId6"/>
    <sheet name="REGIMEN" sheetId="7" r:id="rId7"/>
    <sheet name="EPS" sheetId="8" r:id="rId8"/>
    <sheet name="RESIDENCIA" sheetId="9" r:id="rId9"/>
    <sheet name="CONDICIONES" sheetId="10" r:id="rId10"/>
    <sheet name="COND-CUENTA" sheetId="4" r:id="rId11"/>
    <sheet name="RESPETO" sheetId="11" r:id="rId12"/>
    <sheet name="RESP-SERV-AMB" sheetId="12" r:id="rId13"/>
    <sheet name="RESP-SERV-HOS" sheetId="13" r:id="rId14"/>
    <sheet name="CONFORT-AMB" sheetId="15" r:id="rId15"/>
    <sheet name="CONFORT-HOS" sheetId="25" r:id="rId16"/>
    <sheet name="COMUN-AMBU" sheetId="17" r:id="rId17"/>
    <sheet name="COMUN-HOSP" sheetId="26" r:id="rId18"/>
    <sheet name="TIEMPO-AMB" sheetId="16" r:id="rId19"/>
    <sheet name="TIEMPO-HOS" sheetId="22" r:id="rId20"/>
    <sheet name="DERECHOS Y D" sheetId="21" r:id="rId21"/>
    <sheet name="RESIDUOS" sheetId="20" r:id="rId22"/>
    <sheet name="CANALES" sheetId="19" r:id="rId23"/>
    <sheet name="EVENTOS" sheetId="27" r:id="rId24"/>
    <sheet name="D  Y D" sheetId="28" r:id="rId25"/>
    <sheet name="RUTAS" sheetId="29" r:id="rId26"/>
  </sheets>
  <definedNames>
    <definedName name="_xlnm._FilterDatabase" localSheetId="0" hidden="1">Ambulatorio!$A$2:$CS$366</definedName>
    <definedName name="_xlnm._FilterDatabase" localSheetId="1" hidden="1">Hospitalización!$A$2:$CK$67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3" l="1"/>
  <c r="G24" i="23"/>
  <c r="I24" i="23"/>
  <c r="I9" i="3"/>
  <c r="E11" i="23"/>
  <c r="E10" i="23"/>
  <c r="H11" i="23"/>
  <c r="I25" i="23"/>
  <c r="I26" i="23"/>
  <c r="I27" i="23"/>
  <c r="B27" i="23"/>
  <c r="B26" i="23"/>
  <c r="B25" i="23"/>
  <c r="C27" i="23"/>
  <c r="C26" i="23"/>
  <c r="C25" i="23"/>
  <c r="D27" i="23"/>
  <c r="D26" i="23"/>
  <c r="D25" i="23"/>
  <c r="E25" i="23"/>
  <c r="E26" i="23"/>
  <c r="E27" i="23"/>
  <c r="G27" i="23"/>
  <c r="G26" i="23"/>
  <c r="F27" i="23"/>
  <c r="F26" i="23"/>
  <c r="F25" i="23"/>
  <c r="B24" i="23"/>
  <c r="C24" i="23"/>
  <c r="D24" i="23"/>
  <c r="E24" i="23"/>
  <c r="F24" i="23"/>
  <c r="E9" i="23"/>
  <c r="C8" i="23"/>
  <c r="J24" i="23" l="1"/>
  <c r="B8" i="23"/>
  <c r="E8" i="23"/>
  <c r="H10" i="23"/>
  <c r="H9" i="23"/>
  <c r="H8" i="23"/>
  <c r="E13" i="3"/>
  <c r="E12" i="3"/>
  <c r="E11" i="3"/>
  <c r="E10" i="3"/>
  <c r="E9" i="3"/>
  <c r="E8" i="3"/>
  <c r="H13" i="3"/>
  <c r="H12" i="3"/>
  <c r="H11" i="3"/>
  <c r="H10" i="3"/>
  <c r="H9" i="3"/>
  <c r="H8" i="3"/>
  <c r="F11" i="23"/>
  <c r="F10" i="23"/>
  <c r="F9" i="23"/>
  <c r="F8" i="23"/>
  <c r="F13" i="3"/>
  <c r="F12" i="3"/>
  <c r="F11" i="3"/>
  <c r="F10" i="3"/>
  <c r="F9" i="3"/>
  <c r="F8" i="3"/>
  <c r="G13" i="3"/>
  <c r="D12" i="3"/>
  <c r="D13" i="3"/>
  <c r="C13" i="3"/>
  <c r="B13" i="3"/>
  <c r="B12" i="3"/>
  <c r="C12" i="3"/>
  <c r="G12" i="3"/>
  <c r="G11" i="3"/>
  <c r="D11" i="3"/>
  <c r="C11" i="3"/>
  <c r="B11" i="3"/>
  <c r="B10" i="3"/>
  <c r="C10" i="3"/>
  <c r="D10" i="3"/>
  <c r="G10" i="3"/>
  <c r="F18" i="3" l="1"/>
  <c r="F12" i="23"/>
  <c r="F17" i="23" s="1"/>
  <c r="E18" i="3"/>
  <c r="I11" i="3"/>
  <c r="E14" i="3"/>
  <c r="I10" i="3"/>
  <c r="H12" i="23"/>
  <c r="H14" i="3"/>
  <c r="H18" i="3"/>
  <c r="F14" i="3"/>
  <c r="F21" i="3" s="1"/>
  <c r="G9" i="3"/>
  <c r="D9" i="3"/>
  <c r="C9" i="3"/>
  <c r="B9" i="3"/>
  <c r="G8" i="3"/>
  <c r="D8" i="3"/>
  <c r="C8" i="3"/>
  <c r="B8" i="3"/>
  <c r="B11" i="23"/>
  <c r="C11" i="23"/>
  <c r="D11" i="23"/>
  <c r="G11" i="23"/>
  <c r="G10" i="23"/>
  <c r="D10" i="23"/>
  <c r="C10" i="23"/>
  <c r="B10" i="23"/>
  <c r="G9" i="23"/>
  <c r="D9" i="23"/>
  <c r="C9" i="23"/>
  <c r="B9" i="23"/>
  <c r="G8" i="23"/>
  <c r="D8" i="23"/>
  <c r="H23" i="29"/>
  <c r="G23" i="29"/>
  <c r="F23" i="29"/>
  <c r="E23" i="29"/>
  <c r="D23" i="29"/>
  <c r="C23" i="29"/>
  <c r="B23" i="29"/>
  <c r="H22" i="29"/>
  <c r="G22" i="29"/>
  <c r="F22" i="29"/>
  <c r="E22" i="29"/>
  <c r="D22" i="29"/>
  <c r="C22" i="29"/>
  <c r="B22" i="29"/>
  <c r="H11" i="29"/>
  <c r="G9" i="29"/>
  <c r="F9" i="29"/>
  <c r="E9" i="29"/>
  <c r="D9" i="29"/>
  <c r="C9" i="29"/>
  <c r="B9" i="29"/>
  <c r="G8" i="29"/>
  <c r="F8" i="29"/>
  <c r="E8" i="29"/>
  <c r="D8" i="29"/>
  <c r="C8" i="29"/>
  <c r="B8" i="29"/>
  <c r="H23" i="28"/>
  <c r="G23" i="28"/>
  <c r="F23" i="28"/>
  <c r="E23" i="28"/>
  <c r="D23" i="28"/>
  <c r="C23" i="28"/>
  <c r="B23" i="28"/>
  <c r="H22" i="28"/>
  <c r="G22" i="28"/>
  <c r="F22" i="28"/>
  <c r="E22" i="28"/>
  <c r="D22" i="28"/>
  <c r="C22" i="28"/>
  <c r="B22" i="28"/>
  <c r="H11" i="28"/>
  <c r="G9" i="28"/>
  <c r="F9" i="28"/>
  <c r="E9" i="28"/>
  <c r="D9" i="28"/>
  <c r="C9" i="28"/>
  <c r="B9" i="28"/>
  <c r="G8" i="28"/>
  <c r="F8" i="28"/>
  <c r="E8" i="28"/>
  <c r="D8" i="28"/>
  <c r="C8" i="28"/>
  <c r="B8" i="28"/>
  <c r="H23" i="27"/>
  <c r="G23" i="27"/>
  <c r="F23" i="27"/>
  <c r="E23" i="27"/>
  <c r="D23" i="27"/>
  <c r="C23" i="27"/>
  <c r="B23" i="27"/>
  <c r="H22" i="27"/>
  <c r="G22" i="27"/>
  <c r="F22" i="27"/>
  <c r="E22" i="27"/>
  <c r="D22" i="27"/>
  <c r="C22" i="27"/>
  <c r="B22" i="27"/>
  <c r="H11" i="27"/>
  <c r="G9" i="27"/>
  <c r="F9" i="27"/>
  <c r="E9" i="27"/>
  <c r="D9" i="27"/>
  <c r="C9" i="27"/>
  <c r="B9" i="27"/>
  <c r="G8" i="27"/>
  <c r="F8" i="27"/>
  <c r="E8" i="27"/>
  <c r="D8" i="27"/>
  <c r="C8" i="27"/>
  <c r="B8" i="27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K6" i="19"/>
  <c r="G6" i="19"/>
  <c r="F6" i="19"/>
  <c r="E6" i="19"/>
  <c r="D6" i="19"/>
  <c r="C6" i="19"/>
  <c r="B6" i="19"/>
  <c r="G5" i="19"/>
  <c r="F5" i="19"/>
  <c r="E5" i="19"/>
  <c r="D5" i="19"/>
  <c r="C5" i="19"/>
  <c r="B5" i="19"/>
  <c r="H29" i="20"/>
  <c r="G29" i="20"/>
  <c r="F29" i="20"/>
  <c r="E29" i="20"/>
  <c r="D29" i="20"/>
  <c r="C29" i="20"/>
  <c r="B29" i="20"/>
  <c r="H28" i="20"/>
  <c r="G28" i="20"/>
  <c r="F28" i="20"/>
  <c r="E28" i="20"/>
  <c r="D28" i="20"/>
  <c r="C28" i="20"/>
  <c r="B28" i="20"/>
  <c r="L6" i="20"/>
  <c r="G6" i="20"/>
  <c r="F6" i="20"/>
  <c r="E6" i="20"/>
  <c r="D6" i="20"/>
  <c r="C6" i="20"/>
  <c r="B6" i="20"/>
  <c r="G5" i="20"/>
  <c r="F5" i="20"/>
  <c r="E5" i="20"/>
  <c r="D5" i="20"/>
  <c r="C5" i="20"/>
  <c r="B5" i="20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G7" i="21"/>
  <c r="F7" i="21"/>
  <c r="E7" i="21"/>
  <c r="D7" i="21"/>
  <c r="C7" i="21"/>
  <c r="B7" i="21"/>
  <c r="G6" i="21"/>
  <c r="F6" i="21"/>
  <c r="E6" i="21"/>
  <c r="D6" i="21"/>
  <c r="C6" i="21"/>
  <c r="B6" i="21"/>
  <c r="G5" i="21"/>
  <c r="F5" i="21"/>
  <c r="E5" i="21"/>
  <c r="D5" i="21"/>
  <c r="C5" i="21"/>
  <c r="B5" i="21"/>
  <c r="I73" i="22"/>
  <c r="H73" i="22"/>
  <c r="G73" i="22"/>
  <c r="F73" i="22"/>
  <c r="E73" i="22"/>
  <c r="D73" i="22"/>
  <c r="C73" i="22"/>
  <c r="B73" i="22"/>
  <c r="I72" i="22"/>
  <c r="H72" i="22"/>
  <c r="G72" i="22"/>
  <c r="F72" i="22"/>
  <c r="E72" i="22"/>
  <c r="D72" i="22"/>
  <c r="C72" i="22"/>
  <c r="B72" i="22"/>
  <c r="I71" i="22"/>
  <c r="H71" i="22"/>
  <c r="G71" i="22"/>
  <c r="F71" i="22"/>
  <c r="E71" i="22"/>
  <c r="D71" i="22"/>
  <c r="C71" i="22"/>
  <c r="B71" i="22"/>
  <c r="I70" i="22"/>
  <c r="H70" i="22"/>
  <c r="G70" i="22"/>
  <c r="F70" i="22"/>
  <c r="E70" i="22"/>
  <c r="D70" i="22"/>
  <c r="C70" i="22"/>
  <c r="B70" i="22"/>
  <c r="I64" i="22"/>
  <c r="H64" i="22"/>
  <c r="G64" i="22"/>
  <c r="F64" i="22"/>
  <c r="E64" i="22"/>
  <c r="D64" i="22"/>
  <c r="C64" i="22"/>
  <c r="B64" i="22"/>
  <c r="I63" i="22"/>
  <c r="H63" i="22"/>
  <c r="G63" i="22"/>
  <c r="F63" i="22"/>
  <c r="E63" i="22"/>
  <c r="D63" i="22"/>
  <c r="C63" i="22"/>
  <c r="B63" i="22"/>
  <c r="I62" i="22"/>
  <c r="H62" i="22"/>
  <c r="G62" i="22"/>
  <c r="F62" i="22"/>
  <c r="E62" i="22"/>
  <c r="D62" i="22"/>
  <c r="C62" i="22"/>
  <c r="B62" i="22"/>
  <c r="I61" i="22"/>
  <c r="H61" i="22"/>
  <c r="G61" i="22"/>
  <c r="F61" i="22"/>
  <c r="E61" i="22"/>
  <c r="D61" i="22"/>
  <c r="C61" i="22"/>
  <c r="B61" i="22"/>
  <c r="I55" i="22"/>
  <c r="H55" i="22"/>
  <c r="G55" i="22"/>
  <c r="F55" i="22"/>
  <c r="E55" i="22"/>
  <c r="D55" i="22"/>
  <c r="C55" i="22"/>
  <c r="B55" i="22"/>
  <c r="I54" i="22"/>
  <c r="H54" i="22"/>
  <c r="G54" i="22"/>
  <c r="F54" i="22"/>
  <c r="E54" i="22"/>
  <c r="D54" i="22"/>
  <c r="C54" i="22"/>
  <c r="B54" i="22"/>
  <c r="I53" i="22"/>
  <c r="H53" i="22"/>
  <c r="G53" i="22"/>
  <c r="F53" i="22"/>
  <c r="E53" i="22"/>
  <c r="D53" i="22"/>
  <c r="C53" i="22"/>
  <c r="B53" i="22"/>
  <c r="I52" i="22"/>
  <c r="H52" i="22"/>
  <c r="G52" i="22"/>
  <c r="F52" i="22"/>
  <c r="E52" i="22"/>
  <c r="D52" i="22"/>
  <c r="C52" i="22"/>
  <c r="B52" i="22"/>
  <c r="I46" i="22"/>
  <c r="H46" i="22"/>
  <c r="G46" i="22"/>
  <c r="F46" i="22"/>
  <c r="E46" i="22"/>
  <c r="D46" i="22"/>
  <c r="C46" i="22"/>
  <c r="B46" i="22"/>
  <c r="I45" i="22"/>
  <c r="H45" i="22"/>
  <c r="G45" i="22"/>
  <c r="F45" i="22"/>
  <c r="E45" i="22"/>
  <c r="D45" i="22"/>
  <c r="C45" i="22"/>
  <c r="B45" i="22"/>
  <c r="I44" i="22"/>
  <c r="H44" i="22"/>
  <c r="G44" i="22"/>
  <c r="F44" i="22"/>
  <c r="E44" i="22"/>
  <c r="D44" i="22"/>
  <c r="C44" i="22"/>
  <c r="B44" i="22"/>
  <c r="I43" i="22"/>
  <c r="H43" i="22"/>
  <c r="G43" i="22"/>
  <c r="F43" i="22"/>
  <c r="E43" i="22"/>
  <c r="D43" i="22"/>
  <c r="C43" i="22"/>
  <c r="B43" i="22"/>
  <c r="I37" i="22"/>
  <c r="H37" i="22"/>
  <c r="G37" i="22"/>
  <c r="F37" i="22"/>
  <c r="E37" i="22"/>
  <c r="D37" i="22"/>
  <c r="C37" i="22"/>
  <c r="B37" i="22"/>
  <c r="I36" i="22"/>
  <c r="H36" i="22"/>
  <c r="G36" i="22"/>
  <c r="F36" i="22"/>
  <c r="E36" i="22"/>
  <c r="D36" i="22"/>
  <c r="C36" i="22"/>
  <c r="B36" i="22"/>
  <c r="I35" i="22"/>
  <c r="H35" i="22"/>
  <c r="G35" i="22"/>
  <c r="F35" i="22"/>
  <c r="E35" i="22"/>
  <c r="D35" i="22"/>
  <c r="C35" i="22"/>
  <c r="B35" i="22"/>
  <c r="I34" i="22"/>
  <c r="H34" i="22"/>
  <c r="G34" i="22"/>
  <c r="F34" i="22"/>
  <c r="E34" i="22"/>
  <c r="D34" i="22"/>
  <c r="C34" i="22"/>
  <c r="B34" i="22"/>
  <c r="I28" i="22"/>
  <c r="H28" i="22"/>
  <c r="G28" i="22"/>
  <c r="F28" i="22"/>
  <c r="E28" i="22"/>
  <c r="D28" i="22"/>
  <c r="C28" i="22"/>
  <c r="B28" i="22"/>
  <c r="I27" i="22"/>
  <c r="H27" i="22"/>
  <c r="G27" i="22"/>
  <c r="F27" i="22"/>
  <c r="E27" i="22"/>
  <c r="D27" i="22"/>
  <c r="C27" i="22"/>
  <c r="B27" i="22"/>
  <c r="I26" i="22"/>
  <c r="H26" i="22"/>
  <c r="G26" i="22"/>
  <c r="F26" i="22"/>
  <c r="E26" i="22"/>
  <c r="D26" i="22"/>
  <c r="C26" i="22"/>
  <c r="B26" i="22"/>
  <c r="I25" i="22"/>
  <c r="H25" i="22"/>
  <c r="G25" i="22"/>
  <c r="F25" i="22"/>
  <c r="E25" i="22"/>
  <c r="D25" i="22"/>
  <c r="C25" i="22"/>
  <c r="B25" i="22"/>
  <c r="I18" i="22"/>
  <c r="H18" i="22"/>
  <c r="G18" i="22"/>
  <c r="F18" i="22"/>
  <c r="E18" i="22"/>
  <c r="D18" i="22"/>
  <c r="C18" i="22"/>
  <c r="B18" i="22"/>
  <c r="I17" i="22"/>
  <c r="H17" i="22"/>
  <c r="G17" i="22"/>
  <c r="F17" i="22"/>
  <c r="E17" i="22"/>
  <c r="D17" i="22"/>
  <c r="C17" i="22"/>
  <c r="B17" i="22"/>
  <c r="I16" i="22"/>
  <c r="H16" i="22"/>
  <c r="G16" i="22"/>
  <c r="F16" i="22"/>
  <c r="E16" i="22"/>
  <c r="D16" i="22"/>
  <c r="C16" i="22"/>
  <c r="B16" i="22"/>
  <c r="I15" i="22"/>
  <c r="H15" i="22"/>
  <c r="G15" i="22"/>
  <c r="F15" i="22"/>
  <c r="E15" i="22"/>
  <c r="D15" i="22"/>
  <c r="C15" i="22"/>
  <c r="B15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G91" i="26"/>
  <c r="F91" i="26"/>
  <c r="E91" i="26"/>
  <c r="D91" i="26"/>
  <c r="C91" i="26"/>
  <c r="B91" i="26"/>
  <c r="G90" i="26"/>
  <c r="F90" i="26"/>
  <c r="E90" i="26"/>
  <c r="D90" i="26"/>
  <c r="C90" i="26"/>
  <c r="B90" i="26"/>
  <c r="G89" i="26"/>
  <c r="F89" i="26"/>
  <c r="E89" i="26"/>
  <c r="D89" i="26"/>
  <c r="C89" i="26"/>
  <c r="B89" i="26"/>
  <c r="G88" i="26"/>
  <c r="F88" i="26"/>
  <c r="E88" i="26"/>
  <c r="D88" i="26"/>
  <c r="C88" i="26"/>
  <c r="B88" i="26"/>
  <c r="G87" i="26"/>
  <c r="F87" i="26"/>
  <c r="E87" i="26"/>
  <c r="D87" i="26"/>
  <c r="C87" i="26"/>
  <c r="B87" i="26"/>
  <c r="G86" i="26"/>
  <c r="F86" i="26"/>
  <c r="E86" i="26"/>
  <c r="D86" i="26"/>
  <c r="C86" i="26"/>
  <c r="B86" i="26"/>
  <c r="G85" i="26"/>
  <c r="F85" i="26"/>
  <c r="E85" i="26"/>
  <c r="D85" i="26"/>
  <c r="C85" i="26"/>
  <c r="B85" i="26"/>
  <c r="G84" i="26"/>
  <c r="F84" i="26"/>
  <c r="E84" i="26"/>
  <c r="D84" i="26"/>
  <c r="C84" i="26"/>
  <c r="B84" i="26"/>
  <c r="G78" i="26"/>
  <c r="F78" i="26"/>
  <c r="E78" i="26"/>
  <c r="D78" i="26"/>
  <c r="C78" i="26"/>
  <c r="B78" i="26"/>
  <c r="G77" i="26"/>
  <c r="F77" i="26"/>
  <c r="E77" i="26"/>
  <c r="D77" i="26"/>
  <c r="C77" i="26"/>
  <c r="B77" i="26"/>
  <c r="G76" i="26"/>
  <c r="F76" i="26"/>
  <c r="E76" i="26"/>
  <c r="D76" i="26"/>
  <c r="C76" i="26"/>
  <c r="B76" i="26"/>
  <c r="G75" i="26"/>
  <c r="F75" i="26"/>
  <c r="E75" i="26"/>
  <c r="D75" i="26"/>
  <c r="C75" i="26"/>
  <c r="B75" i="26"/>
  <c r="G74" i="26"/>
  <c r="F74" i="26"/>
  <c r="E74" i="26"/>
  <c r="D74" i="26"/>
  <c r="C74" i="26"/>
  <c r="B74" i="26"/>
  <c r="G73" i="26"/>
  <c r="F73" i="26"/>
  <c r="E73" i="26"/>
  <c r="D73" i="26"/>
  <c r="C73" i="26"/>
  <c r="B73" i="26"/>
  <c r="G72" i="26"/>
  <c r="F72" i="26"/>
  <c r="E72" i="26"/>
  <c r="D72" i="26"/>
  <c r="C72" i="26"/>
  <c r="B72" i="26"/>
  <c r="G71" i="26"/>
  <c r="F71" i="26"/>
  <c r="E71" i="26"/>
  <c r="D71" i="26"/>
  <c r="C71" i="26"/>
  <c r="B71" i="26"/>
  <c r="G65" i="26"/>
  <c r="F65" i="26"/>
  <c r="E65" i="26"/>
  <c r="D65" i="26"/>
  <c r="C65" i="26"/>
  <c r="B65" i="26"/>
  <c r="G64" i="26"/>
  <c r="F64" i="26"/>
  <c r="E64" i="26"/>
  <c r="D64" i="26"/>
  <c r="C64" i="26"/>
  <c r="B64" i="26"/>
  <c r="G63" i="26"/>
  <c r="F63" i="26"/>
  <c r="E63" i="26"/>
  <c r="D63" i="26"/>
  <c r="C63" i="26"/>
  <c r="B63" i="26"/>
  <c r="G62" i="26"/>
  <c r="F62" i="26"/>
  <c r="E62" i="26"/>
  <c r="D62" i="26"/>
  <c r="C62" i="26"/>
  <c r="B62" i="26"/>
  <c r="G61" i="26"/>
  <c r="F61" i="26"/>
  <c r="E61" i="26"/>
  <c r="D61" i="26"/>
  <c r="C61" i="26"/>
  <c r="B61" i="26"/>
  <c r="G60" i="26"/>
  <c r="F60" i="26"/>
  <c r="E60" i="26"/>
  <c r="D60" i="26"/>
  <c r="C60" i="26"/>
  <c r="B60" i="26"/>
  <c r="G59" i="26"/>
  <c r="F59" i="26"/>
  <c r="E59" i="26"/>
  <c r="D59" i="26"/>
  <c r="C59" i="26"/>
  <c r="B59" i="26"/>
  <c r="G58" i="26"/>
  <c r="F58" i="26"/>
  <c r="E58" i="26"/>
  <c r="D58" i="26"/>
  <c r="C58" i="26"/>
  <c r="B58" i="26"/>
  <c r="G52" i="26"/>
  <c r="F52" i="26"/>
  <c r="E52" i="26"/>
  <c r="D52" i="26"/>
  <c r="C52" i="26"/>
  <c r="B52" i="26"/>
  <c r="G51" i="26"/>
  <c r="F51" i="26"/>
  <c r="E51" i="26"/>
  <c r="D51" i="26"/>
  <c r="C51" i="26"/>
  <c r="B51" i="26"/>
  <c r="G50" i="26"/>
  <c r="F50" i="26"/>
  <c r="E50" i="26"/>
  <c r="D50" i="26"/>
  <c r="C50" i="26"/>
  <c r="B50" i="26"/>
  <c r="G49" i="26"/>
  <c r="F49" i="26"/>
  <c r="E49" i="26"/>
  <c r="D49" i="26"/>
  <c r="C49" i="26"/>
  <c r="B49" i="26"/>
  <c r="G48" i="26"/>
  <c r="F48" i="26"/>
  <c r="E48" i="26"/>
  <c r="D48" i="26"/>
  <c r="C48" i="26"/>
  <c r="B48" i="26"/>
  <c r="G47" i="26"/>
  <c r="F47" i="26"/>
  <c r="E47" i="26"/>
  <c r="D47" i="26"/>
  <c r="C47" i="26"/>
  <c r="B47" i="26"/>
  <c r="G46" i="26"/>
  <c r="F46" i="26"/>
  <c r="E46" i="26"/>
  <c r="D46" i="26"/>
  <c r="C46" i="26"/>
  <c r="B46" i="26"/>
  <c r="G45" i="26"/>
  <c r="F45" i="26"/>
  <c r="E45" i="26"/>
  <c r="D45" i="26"/>
  <c r="C45" i="26"/>
  <c r="B45" i="26"/>
  <c r="G39" i="26"/>
  <c r="F39" i="26"/>
  <c r="E39" i="26"/>
  <c r="D39" i="26"/>
  <c r="C39" i="26"/>
  <c r="B39" i="26"/>
  <c r="G38" i="26"/>
  <c r="F38" i="26"/>
  <c r="E38" i="26"/>
  <c r="D38" i="26"/>
  <c r="C38" i="26"/>
  <c r="B38" i="26"/>
  <c r="G37" i="26"/>
  <c r="F37" i="26"/>
  <c r="E37" i="26"/>
  <c r="D37" i="26"/>
  <c r="C37" i="26"/>
  <c r="B37" i="26"/>
  <c r="G36" i="26"/>
  <c r="F36" i="26"/>
  <c r="E36" i="26"/>
  <c r="D36" i="26"/>
  <c r="C36" i="26"/>
  <c r="B36" i="26"/>
  <c r="G35" i="26"/>
  <c r="F35" i="26"/>
  <c r="E35" i="26"/>
  <c r="D35" i="26"/>
  <c r="C35" i="26"/>
  <c r="B35" i="26"/>
  <c r="G34" i="26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26" i="26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F23" i="26"/>
  <c r="E23" i="26"/>
  <c r="D23" i="26"/>
  <c r="C23" i="26"/>
  <c r="B23" i="26"/>
  <c r="G22" i="26"/>
  <c r="F22" i="26"/>
  <c r="E22" i="26"/>
  <c r="D22" i="26"/>
  <c r="C22" i="26"/>
  <c r="B22" i="26"/>
  <c r="G21" i="26"/>
  <c r="F21" i="26"/>
  <c r="E21" i="26"/>
  <c r="D21" i="26"/>
  <c r="C21" i="26"/>
  <c r="B21" i="26"/>
  <c r="G20" i="26"/>
  <c r="F20" i="26"/>
  <c r="E20" i="26"/>
  <c r="D20" i="26"/>
  <c r="C20" i="26"/>
  <c r="B20" i="26"/>
  <c r="G19" i="26"/>
  <c r="F19" i="26"/>
  <c r="E19" i="26"/>
  <c r="D19" i="26"/>
  <c r="C19" i="26"/>
  <c r="B19" i="26"/>
  <c r="G13" i="26"/>
  <c r="F13" i="26"/>
  <c r="E13" i="26"/>
  <c r="D13" i="26"/>
  <c r="C13" i="26"/>
  <c r="B13" i="26"/>
  <c r="G12" i="26"/>
  <c r="F12" i="26"/>
  <c r="E12" i="26"/>
  <c r="D12" i="26"/>
  <c r="C12" i="26"/>
  <c r="B12" i="26"/>
  <c r="G11" i="26"/>
  <c r="F11" i="26"/>
  <c r="E11" i="26"/>
  <c r="D11" i="26"/>
  <c r="C11" i="26"/>
  <c r="B11" i="26"/>
  <c r="G10" i="26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F7" i="26"/>
  <c r="E7" i="26"/>
  <c r="D7" i="26"/>
  <c r="C7" i="26"/>
  <c r="B7" i="26"/>
  <c r="G6" i="26"/>
  <c r="F6" i="26"/>
  <c r="E6" i="26"/>
  <c r="D6" i="26"/>
  <c r="C6" i="26"/>
  <c r="B6" i="26"/>
  <c r="L95" i="17"/>
  <c r="K95" i="17"/>
  <c r="J95" i="17"/>
  <c r="I95" i="17"/>
  <c r="H95" i="17"/>
  <c r="G95" i="17"/>
  <c r="F95" i="17"/>
  <c r="E95" i="17"/>
  <c r="D95" i="17"/>
  <c r="C95" i="17"/>
  <c r="B95" i="17"/>
  <c r="L94" i="17"/>
  <c r="K94" i="17"/>
  <c r="J94" i="17"/>
  <c r="I94" i="17"/>
  <c r="H94" i="17"/>
  <c r="G94" i="17"/>
  <c r="F94" i="17"/>
  <c r="E94" i="17"/>
  <c r="D94" i="17"/>
  <c r="C94" i="17"/>
  <c r="B94" i="17"/>
  <c r="L93" i="17"/>
  <c r="K93" i="17"/>
  <c r="J93" i="17"/>
  <c r="I93" i="17"/>
  <c r="H93" i="17"/>
  <c r="G93" i="17"/>
  <c r="F93" i="17"/>
  <c r="E93" i="17"/>
  <c r="D93" i="17"/>
  <c r="C93" i="17"/>
  <c r="B93" i="17"/>
  <c r="L92" i="17"/>
  <c r="K92" i="17"/>
  <c r="J92" i="17"/>
  <c r="I92" i="17"/>
  <c r="H92" i="17"/>
  <c r="G92" i="17"/>
  <c r="F92" i="17"/>
  <c r="E92" i="17"/>
  <c r="D92" i="17"/>
  <c r="C92" i="17"/>
  <c r="B92" i="17"/>
  <c r="L91" i="17"/>
  <c r="K91" i="17"/>
  <c r="J91" i="17"/>
  <c r="I91" i="17"/>
  <c r="H91" i="17"/>
  <c r="G91" i="17"/>
  <c r="F91" i="17"/>
  <c r="E91" i="17"/>
  <c r="D91" i="17"/>
  <c r="C91" i="17"/>
  <c r="B91" i="17"/>
  <c r="L90" i="17"/>
  <c r="K90" i="17"/>
  <c r="J90" i="17"/>
  <c r="I90" i="17"/>
  <c r="H90" i="17"/>
  <c r="G90" i="17"/>
  <c r="F90" i="17"/>
  <c r="E90" i="17"/>
  <c r="D90" i="17"/>
  <c r="C90" i="17"/>
  <c r="B90" i="17"/>
  <c r="L89" i="17"/>
  <c r="K89" i="17"/>
  <c r="J89" i="17"/>
  <c r="I89" i="17"/>
  <c r="H89" i="17"/>
  <c r="G89" i="17"/>
  <c r="F89" i="17"/>
  <c r="E89" i="17"/>
  <c r="D89" i="17"/>
  <c r="C89" i="17"/>
  <c r="B89" i="17"/>
  <c r="L88" i="17"/>
  <c r="K88" i="17"/>
  <c r="J88" i="17"/>
  <c r="I88" i="17"/>
  <c r="H88" i="17"/>
  <c r="G88" i="17"/>
  <c r="F88" i="17"/>
  <c r="E88" i="17"/>
  <c r="D88" i="17"/>
  <c r="C88" i="17"/>
  <c r="B88" i="17"/>
  <c r="L81" i="17"/>
  <c r="K81" i="17"/>
  <c r="J81" i="17"/>
  <c r="I81" i="17"/>
  <c r="H81" i="17"/>
  <c r="G81" i="17"/>
  <c r="F81" i="17"/>
  <c r="E81" i="17"/>
  <c r="D81" i="17"/>
  <c r="C81" i="17"/>
  <c r="B81" i="17"/>
  <c r="L80" i="17"/>
  <c r="K80" i="17"/>
  <c r="J80" i="17"/>
  <c r="I80" i="17"/>
  <c r="H80" i="17"/>
  <c r="G80" i="17"/>
  <c r="F80" i="17"/>
  <c r="E80" i="17"/>
  <c r="D80" i="17"/>
  <c r="C80" i="17"/>
  <c r="B80" i="17"/>
  <c r="L79" i="17"/>
  <c r="K79" i="17"/>
  <c r="J79" i="17"/>
  <c r="I79" i="17"/>
  <c r="H79" i="17"/>
  <c r="G79" i="17"/>
  <c r="F79" i="17"/>
  <c r="E79" i="17"/>
  <c r="D79" i="17"/>
  <c r="C79" i="17"/>
  <c r="B79" i="17"/>
  <c r="L78" i="17"/>
  <c r="K78" i="17"/>
  <c r="J78" i="17"/>
  <c r="I78" i="17"/>
  <c r="H78" i="17"/>
  <c r="G78" i="17"/>
  <c r="F78" i="17"/>
  <c r="E78" i="17"/>
  <c r="D78" i="17"/>
  <c r="C78" i="17"/>
  <c r="B78" i="17"/>
  <c r="L77" i="17"/>
  <c r="K77" i="17"/>
  <c r="J77" i="17"/>
  <c r="I77" i="17"/>
  <c r="H77" i="17"/>
  <c r="G77" i="17"/>
  <c r="F77" i="17"/>
  <c r="E77" i="17"/>
  <c r="D77" i="17"/>
  <c r="C77" i="17"/>
  <c r="B77" i="17"/>
  <c r="L76" i="17"/>
  <c r="K76" i="17"/>
  <c r="J76" i="17"/>
  <c r="I76" i="17"/>
  <c r="H76" i="17"/>
  <c r="G76" i="17"/>
  <c r="F76" i="17"/>
  <c r="E76" i="17"/>
  <c r="D76" i="17"/>
  <c r="C76" i="17"/>
  <c r="B76" i="17"/>
  <c r="L75" i="17"/>
  <c r="K75" i="17"/>
  <c r="J75" i="17"/>
  <c r="I75" i="17"/>
  <c r="H75" i="17"/>
  <c r="G75" i="17"/>
  <c r="F75" i="17"/>
  <c r="E75" i="17"/>
  <c r="D75" i="17"/>
  <c r="C75" i="17"/>
  <c r="B75" i="17"/>
  <c r="L74" i="17"/>
  <c r="K74" i="17"/>
  <c r="J74" i="17"/>
  <c r="I74" i="17"/>
  <c r="H74" i="17"/>
  <c r="G74" i="17"/>
  <c r="F74" i="17"/>
  <c r="E74" i="17"/>
  <c r="D74" i="17"/>
  <c r="C74" i="17"/>
  <c r="B74" i="17"/>
  <c r="L67" i="17"/>
  <c r="K67" i="17"/>
  <c r="J67" i="17"/>
  <c r="I67" i="17"/>
  <c r="H67" i="17"/>
  <c r="G67" i="17"/>
  <c r="F67" i="17"/>
  <c r="E67" i="17"/>
  <c r="D67" i="17"/>
  <c r="C67" i="17"/>
  <c r="B67" i="17"/>
  <c r="L66" i="17"/>
  <c r="K66" i="17"/>
  <c r="J66" i="17"/>
  <c r="I66" i="17"/>
  <c r="H66" i="17"/>
  <c r="G66" i="17"/>
  <c r="F66" i="17"/>
  <c r="E66" i="17"/>
  <c r="D66" i="17"/>
  <c r="C66" i="17"/>
  <c r="B66" i="17"/>
  <c r="L65" i="17"/>
  <c r="K65" i="17"/>
  <c r="J65" i="17"/>
  <c r="I65" i="17"/>
  <c r="H65" i="17"/>
  <c r="G65" i="17"/>
  <c r="F65" i="17"/>
  <c r="E65" i="17"/>
  <c r="D65" i="17"/>
  <c r="C65" i="17"/>
  <c r="B65" i="17"/>
  <c r="L64" i="17"/>
  <c r="K64" i="17"/>
  <c r="J64" i="17"/>
  <c r="I64" i="17"/>
  <c r="H64" i="17"/>
  <c r="G64" i="17"/>
  <c r="F64" i="17"/>
  <c r="E64" i="17"/>
  <c r="D64" i="17"/>
  <c r="C64" i="17"/>
  <c r="B64" i="17"/>
  <c r="L63" i="17"/>
  <c r="K63" i="17"/>
  <c r="J63" i="17"/>
  <c r="I63" i="17"/>
  <c r="H63" i="17"/>
  <c r="G63" i="17"/>
  <c r="F63" i="17"/>
  <c r="E63" i="17"/>
  <c r="D63" i="17"/>
  <c r="C63" i="17"/>
  <c r="B63" i="17"/>
  <c r="L62" i="17"/>
  <c r="K62" i="17"/>
  <c r="J62" i="17"/>
  <c r="I62" i="17"/>
  <c r="H62" i="17"/>
  <c r="G62" i="17"/>
  <c r="F62" i="17"/>
  <c r="E62" i="17"/>
  <c r="D62" i="17"/>
  <c r="C62" i="17"/>
  <c r="B62" i="17"/>
  <c r="L61" i="17"/>
  <c r="K61" i="17"/>
  <c r="J61" i="17"/>
  <c r="I61" i="17"/>
  <c r="H61" i="17"/>
  <c r="G61" i="17"/>
  <c r="F61" i="17"/>
  <c r="E61" i="17"/>
  <c r="D61" i="17"/>
  <c r="C61" i="17"/>
  <c r="B61" i="17"/>
  <c r="L60" i="17"/>
  <c r="K60" i="17"/>
  <c r="J60" i="17"/>
  <c r="I60" i="17"/>
  <c r="H60" i="17"/>
  <c r="G60" i="17"/>
  <c r="F60" i="17"/>
  <c r="E60" i="17"/>
  <c r="D60" i="17"/>
  <c r="C60" i="17"/>
  <c r="B60" i="17"/>
  <c r="L53" i="17"/>
  <c r="K53" i="17"/>
  <c r="J53" i="17"/>
  <c r="I53" i="17"/>
  <c r="H53" i="17"/>
  <c r="G53" i="17"/>
  <c r="F53" i="17"/>
  <c r="E53" i="17"/>
  <c r="D53" i="17"/>
  <c r="C53" i="17"/>
  <c r="B53" i="17"/>
  <c r="L52" i="17"/>
  <c r="K52" i="17"/>
  <c r="J52" i="17"/>
  <c r="I52" i="17"/>
  <c r="H52" i="17"/>
  <c r="G52" i="17"/>
  <c r="F52" i="17"/>
  <c r="E52" i="17"/>
  <c r="D52" i="17"/>
  <c r="C52" i="17"/>
  <c r="B52" i="17"/>
  <c r="L51" i="17"/>
  <c r="K51" i="17"/>
  <c r="J51" i="17"/>
  <c r="I51" i="17"/>
  <c r="H51" i="17"/>
  <c r="G51" i="17"/>
  <c r="F51" i="17"/>
  <c r="E51" i="17"/>
  <c r="D51" i="17"/>
  <c r="C51" i="17"/>
  <c r="B51" i="17"/>
  <c r="L50" i="17"/>
  <c r="K50" i="17"/>
  <c r="J50" i="17"/>
  <c r="I50" i="17"/>
  <c r="H50" i="17"/>
  <c r="G50" i="17"/>
  <c r="F50" i="17"/>
  <c r="E50" i="17"/>
  <c r="D50" i="17"/>
  <c r="C50" i="17"/>
  <c r="B50" i="17"/>
  <c r="L49" i="17"/>
  <c r="K49" i="17"/>
  <c r="J49" i="17"/>
  <c r="I49" i="17"/>
  <c r="H49" i="17"/>
  <c r="G49" i="17"/>
  <c r="F49" i="17"/>
  <c r="E49" i="17"/>
  <c r="D49" i="17"/>
  <c r="C49" i="17"/>
  <c r="B49" i="17"/>
  <c r="L48" i="17"/>
  <c r="K48" i="17"/>
  <c r="J48" i="17"/>
  <c r="I48" i="17"/>
  <c r="H48" i="17"/>
  <c r="G48" i="17"/>
  <c r="F48" i="17"/>
  <c r="E48" i="17"/>
  <c r="D48" i="17"/>
  <c r="C48" i="17"/>
  <c r="B48" i="17"/>
  <c r="L47" i="17"/>
  <c r="K47" i="17"/>
  <c r="J47" i="17"/>
  <c r="I47" i="17"/>
  <c r="H47" i="17"/>
  <c r="G47" i="17"/>
  <c r="F47" i="17"/>
  <c r="E47" i="17"/>
  <c r="D47" i="17"/>
  <c r="C47" i="17"/>
  <c r="B47" i="17"/>
  <c r="L46" i="17"/>
  <c r="K46" i="17"/>
  <c r="J46" i="17"/>
  <c r="I46" i="17"/>
  <c r="H46" i="17"/>
  <c r="G46" i="17"/>
  <c r="F46" i="17"/>
  <c r="E46" i="17"/>
  <c r="D46" i="17"/>
  <c r="C46" i="17"/>
  <c r="B46" i="17"/>
  <c r="L39" i="17"/>
  <c r="K39" i="17"/>
  <c r="J39" i="17"/>
  <c r="I39" i="17"/>
  <c r="H39" i="17"/>
  <c r="G39" i="17"/>
  <c r="F39" i="17"/>
  <c r="E39" i="17"/>
  <c r="D39" i="17"/>
  <c r="C39" i="17"/>
  <c r="B39" i="17"/>
  <c r="L38" i="17"/>
  <c r="K38" i="17"/>
  <c r="J38" i="17"/>
  <c r="I38" i="17"/>
  <c r="H38" i="17"/>
  <c r="G38" i="17"/>
  <c r="F38" i="17"/>
  <c r="E38" i="17"/>
  <c r="D38" i="17"/>
  <c r="C38" i="17"/>
  <c r="B38" i="17"/>
  <c r="L37" i="17"/>
  <c r="K37" i="17"/>
  <c r="J37" i="17"/>
  <c r="I37" i="17"/>
  <c r="H37" i="17"/>
  <c r="G37" i="17"/>
  <c r="F37" i="17"/>
  <c r="E37" i="17"/>
  <c r="D37" i="17"/>
  <c r="C37" i="17"/>
  <c r="B37" i="17"/>
  <c r="L36" i="17"/>
  <c r="K36" i="17"/>
  <c r="J36" i="17"/>
  <c r="I36" i="17"/>
  <c r="H36" i="17"/>
  <c r="G36" i="17"/>
  <c r="F36" i="17"/>
  <c r="E36" i="17"/>
  <c r="D36" i="17"/>
  <c r="C36" i="17"/>
  <c r="B36" i="17"/>
  <c r="L35" i="17"/>
  <c r="K35" i="17"/>
  <c r="J35" i="17"/>
  <c r="I35" i="17"/>
  <c r="H35" i="17"/>
  <c r="G35" i="17"/>
  <c r="F35" i="17"/>
  <c r="E35" i="17"/>
  <c r="D35" i="17"/>
  <c r="C35" i="17"/>
  <c r="B35" i="17"/>
  <c r="L34" i="17"/>
  <c r="K34" i="17"/>
  <c r="J34" i="17"/>
  <c r="I34" i="17"/>
  <c r="H34" i="17"/>
  <c r="G34" i="17"/>
  <c r="F34" i="17"/>
  <c r="E34" i="17"/>
  <c r="D34" i="17"/>
  <c r="C34" i="17"/>
  <c r="B34" i="17"/>
  <c r="L33" i="17"/>
  <c r="K33" i="17"/>
  <c r="J33" i="17"/>
  <c r="I33" i="17"/>
  <c r="H33" i="17"/>
  <c r="G33" i="17"/>
  <c r="F33" i="17"/>
  <c r="E33" i="17"/>
  <c r="D33" i="17"/>
  <c r="C33" i="17"/>
  <c r="B33" i="17"/>
  <c r="L32" i="17"/>
  <c r="K32" i="17"/>
  <c r="J32" i="17"/>
  <c r="I32" i="17"/>
  <c r="H32" i="17"/>
  <c r="G32" i="17"/>
  <c r="F32" i="17"/>
  <c r="E32" i="17"/>
  <c r="D32" i="17"/>
  <c r="C32" i="17"/>
  <c r="B32" i="17"/>
  <c r="L25" i="17"/>
  <c r="K25" i="17"/>
  <c r="J25" i="17"/>
  <c r="I25" i="17"/>
  <c r="H25" i="17"/>
  <c r="G25" i="17"/>
  <c r="F25" i="17"/>
  <c r="E25" i="17"/>
  <c r="D25" i="17"/>
  <c r="C25" i="17"/>
  <c r="B25" i="17"/>
  <c r="L24" i="17"/>
  <c r="K24" i="17"/>
  <c r="J24" i="17"/>
  <c r="I24" i="17"/>
  <c r="H24" i="17"/>
  <c r="G24" i="17"/>
  <c r="F24" i="17"/>
  <c r="E24" i="17"/>
  <c r="D24" i="17"/>
  <c r="C24" i="17"/>
  <c r="B24" i="17"/>
  <c r="L23" i="17"/>
  <c r="K23" i="17"/>
  <c r="J23" i="17"/>
  <c r="I23" i="17"/>
  <c r="H23" i="17"/>
  <c r="G23" i="17"/>
  <c r="F23" i="17"/>
  <c r="E23" i="17"/>
  <c r="D23" i="17"/>
  <c r="C23" i="17"/>
  <c r="B23" i="17"/>
  <c r="L22" i="17"/>
  <c r="K22" i="17"/>
  <c r="J22" i="17"/>
  <c r="I22" i="17"/>
  <c r="H22" i="17"/>
  <c r="G22" i="17"/>
  <c r="F22" i="17"/>
  <c r="E22" i="17"/>
  <c r="D22" i="17"/>
  <c r="C22" i="17"/>
  <c r="B22" i="17"/>
  <c r="L21" i="17"/>
  <c r="K21" i="17"/>
  <c r="J21" i="17"/>
  <c r="I21" i="17"/>
  <c r="H21" i="17"/>
  <c r="G21" i="17"/>
  <c r="F21" i="17"/>
  <c r="E21" i="17"/>
  <c r="D21" i="17"/>
  <c r="C21" i="17"/>
  <c r="B21" i="17"/>
  <c r="L20" i="17"/>
  <c r="K20" i="17"/>
  <c r="J20" i="17"/>
  <c r="I20" i="17"/>
  <c r="H20" i="17"/>
  <c r="G20" i="17"/>
  <c r="F20" i="17"/>
  <c r="E20" i="17"/>
  <c r="D20" i="17"/>
  <c r="C20" i="17"/>
  <c r="B20" i="17"/>
  <c r="L19" i="17"/>
  <c r="K19" i="17"/>
  <c r="J19" i="17"/>
  <c r="I19" i="17"/>
  <c r="H19" i="17"/>
  <c r="G19" i="17"/>
  <c r="F19" i="17"/>
  <c r="E19" i="17"/>
  <c r="D19" i="17"/>
  <c r="C19" i="17"/>
  <c r="B19" i="17"/>
  <c r="L18" i="17"/>
  <c r="K18" i="17"/>
  <c r="J18" i="17"/>
  <c r="I18" i="17"/>
  <c r="H18" i="17"/>
  <c r="G18" i="17"/>
  <c r="F18" i="17"/>
  <c r="E18" i="17"/>
  <c r="D18" i="17"/>
  <c r="C18" i="17"/>
  <c r="B18" i="17"/>
  <c r="L12" i="17"/>
  <c r="K12" i="17"/>
  <c r="J12" i="17"/>
  <c r="I12" i="17"/>
  <c r="H12" i="17"/>
  <c r="G12" i="17"/>
  <c r="F12" i="17"/>
  <c r="E12" i="17"/>
  <c r="D12" i="17"/>
  <c r="C12" i="17"/>
  <c r="B12" i="17"/>
  <c r="L11" i="17"/>
  <c r="K11" i="17"/>
  <c r="J11" i="17"/>
  <c r="I11" i="17"/>
  <c r="H11" i="17"/>
  <c r="G11" i="17"/>
  <c r="F11" i="17"/>
  <c r="E11" i="17"/>
  <c r="D11" i="17"/>
  <c r="C11" i="17"/>
  <c r="B11" i="17"/>
  <c r="L10" i="17"/>
  <c r="K10" i="17"/>
  <c r="J10" i="17"/>
  <c r="I10" i="17"/>
  <c r="H10" i="17"/>
  <c r="G10" i="17"/>
  <c r="F10" i="17"/>
  <c r="E10" i="17"/>
  <c r="D10" i="17"/>
  <c r="C10" i="17"/>
  <c r="B10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L5" i="17"/>
  <c r="K5" i="17"/>
  <c r="J5" i="17"/>
  <c r="I5" i="17"/>
  <c r="H5" i="17"/>
  <c r="G5" i="17"/>
  <c r="F5" i="17"/>
  <c r="E5" i="17"/>
  <c r="D5" i="17"/>
  <c r="C5" i="17"/>
  <c r="B5" i="17"/>
  <c r="G90" i="25"/>
  <c r="F90" i="25"/>
  <c r="E90" i="25"/>
  <c r="D90" i="25"/>
  <c r="C90" i="25"/>
  <c r="B90" i="25"/>
  <c r="G89" i="25"/>
  <c r="F89" i="25"/>
  <c r="E89" i="25"/>
  <c r="D89" i="25"/>
  <c r="C89" i="25"/>
  <c r="B89" i="25"/>
  <c r="G88" i="25"/>
  <c r="F88" i="25"/>
  <c r="E88" i="25"/>
  <c r="D88" i="25"/>
  <c r="C88" i="25"/>
  <c r="B88" i="25"/>
  <c r="G87" i="25"/>
  <c r="F87" i="25"/>
  <c r="E87" i="25"/>
  <c r="D87" i="25"/>
  <c r="C87" i="25"/>
  <c r="B87" i="25"/>
  <c r="G86" i="25"/>
  <c r="F86" i="25"/>
  <c r="E86" i="25"/>
  <c r="D86" i="25"/>
  <c r="C86" i="25"/>
  <c r="B86" i="25"/>
  <c r="G85" i="25"/>
  <c r="F85" i="25"/>
  <c r="E85" i="25"/>
  <c r="D85" i="25"/>
  <c r="C85" i="25"/>
  <c r="B85" i="25"/>
  <c r="G84" i="25"/>
  <c r="F84" i="25"/>
  <c r="E84" i="25"/>
  <c r="D84" i="25"/>
  <c r="C84" i="25"/>
  <c r="B84" i="25"/>
  <c r="G83" i="25"/>
  <c r="F83" i="25"/>
  <c r="E83" i="25"/>
  <c r="D83" i="25"/>
  <c r="C83" i="25"/>
  <c r="B83" i="25"/>
  <c r="G78" i="25"/>
  <c r="F78" i="25"/>
  <c r="E78" i="25"/>
  <c r="D78" i="25"/>
  <c r="C78" i="25"/>
  <c r="B78" i="25"/>
  <c r="G77" i="25"/>
  <c r="F77" i="25"/>
  <c r="E77" i="25"/>
  <c r="D77" i="25"/>
  <c r="C77" i="25"/>
  <c r="B77" i="25"/>
  <c r="G76" i="25"/>
  <c r="F76" i="25"/>
  <c r="E76" i="25"/>
  <c r="D76" i="25"/>
  <c r="C76" i="25"/>
  <c r="B76" i="25"/>
  <c r="G75" i="25"/>
  <c r="F75" i="25"/>
  <c r="E75" i="25"/>
  <c r="D75" i="25"/>
  <c r="C75" i="25"/>
  <c r="B75" i="25"/>
  <c r="G74" i="25"/>
  <c r="F74" i="25"/>
  <c r="E74" i="25"/>
  <c r="D74" i="25"/>
  <c r="C74" i="25"/>
  <c r="B74" i="25"/>
  <c r="G73" i="25"/>
  <c r="F73" i="25"/>
  <c r="E73" i="25"/>
  <c r="D73" i="25"/>
  <c r="C73" i="25"/>
  <c r="B73" i="25"/>
  <c r="G72" i="25"/>
  <c r="F72" i="25"/>
  <c r="E72" i="25"/>
  <c r="D72" i="25"/>
  <c r="C72" i="25"/>
  <c r="B72" i="25"/>
  <c r="G71" i="25"/>
  <c r="F71" i="25"/>
  <c r="E71" i="25"/>
  <c r="D71" i="25"/>
  <c r="C71" i="25"/>
  <c r="B71" i="25"/>
  <c r="G65" i="25"/>
  <c r="F65" i="25"/>
  <c r="E65" i="25"/>
  <c r="D65" i="25"/>
  <c r="C65" i="25"/>
  <c r="B65" i="25"/>
  <c r="G64" i="25"/>
  <c r="F64" i="25"/>
  <c r="E64" i="25"/>
  <c r="D64" i="25"/>
  <c r="C64" i="25"/>
  <c r="B64" i="25"/>
  <c r="G63" i="25"/>
  <c r="F63" i="25"/>
  <c r="E63" i="25"/>
  <c r="D63" i="25"/>
  <c r="C63" i="25"/>
  <c r="B63" i="25"/>
  <c r="G62" i="25"/>
  <c r="F62" i="25"/>
  <c r="E62" i="25"/>
  <c r="D62" i="25"/>
  <c r="C62" i="25"/>
  <c r="B62" i="25"/>
  <c r="G61" i="25"/>
  <c r="F61" i="25"/>
  <c r="E61" i="25"/>
  <c r="D61" i="25"/>
  <c r="C61" i="25"/>
  <c r="B61" i="25"/>
  <c r="G60" i="25"/>
  <c r="F60" i="25"/>
  <c r="E60" i="25"/>
  <c r="D60" i="25"/>
  <c r="C60" i="25"/>
  <c r="B60" i="25"/>
  <c r="G59" i="25"/>
  <c r="F59" i="25"/>
  <c r="E59" i="25"/>
  <c r="D59" i="25"/>
  <c r="C59" i="25"/>
  <c r="B59" i="25"/>
  <c r="G58" i="25"/>
  <c r="F58" i="25"/>
  <c r="E58" i="25"/>
  <c r="D58" i="25"/>
  <c r="C58" i="25"/>
  <c r="B58" i="25"/>
  <c r="G52" i="25"/>
  <c r="F52" i="25"/>
  <c r="E52" i="25"/>
  <c r="D52" i="25"/>
  <c r="C52" i="25"/>
  <c r="B52" i="25"/>
  <c r="G51" i="25"/>
  <c r="F51" i="25"/>
  <c r="E51" i="25"/>
  <c r="D51" i="25"/>
  <c r="C51" i="25"/>
  <c r="B51" i="25"/>
  <c r="G50" i="25"/>
  <c r="F50" i="25"/>
  <c r="E50" i="25"/>
  <c r="D50" i="25"/>
  <c r="C50" i="25"/>
  <c r="B50" i="25"/>
  <c r="G49" i="25"/>
  <c r="F49" i="25"/>
  <c r="E49" i="25"/>
  <c r="D49" i="25"/>
  <c r="C49" i="25"/>
  <c r="B49" i="25"/>
  <c r="G48" i="25"/>
  <c r="F48" i="25"/>
  <c r="E48" i="25"/>
  <c r="D48" i="25"/>
  <c r="C48" i="25"/>
  <c r="B48" i="25"/>
  <c r="G47" i="25"/>
  <c r="F47" i="25"/>
  <c r="E47" i="25"/>
  <c r="D47" i="25"/>
  <c r="C47" i="25"/>
  <c r="B47" i="25"/>
  <c r="G46" i="25"/>
  <c r="F46" i="25"/>
  <c r="E46" i="25"/>
  <c r="D46" i="25"/>
  <c r="C46" i="25"/>
  <c r="B46" i="25"/>
  <c r="G45" i="25"/>
  <c r="F45" i="25"/>
  <c r="E45" i="25"/>
  <c r="D45" i="25"/>
  <c r="C45" i="25"/>
  <c r="B45" i="25"/>
  <c r="G39" i="25"/>
  <c r="F39" i="25"/>
  <c r="E39" i="25"/>
  <c r="D39" i="25"/>
  <c r="C39" i="25"/>
  <c r="B39" i="25"/>
  <c r="G38" i="25"/>
  <c r="F38" i="25"/>
  <c r="E38" i="25"/>
  <c r="D38" i="25"/>
  <c r="C38" i="25"/>
  <c r="B38" i="25"/>
  <c r="G37" i="25"/>
  <c r="F37" i="25"/>
  <c r="E37" i="25"/>
  <c r="D37" i="25"/>
  <c r="C37" i="25"/>
  <c r="B37" i="25"/>
  <c r="G36" i="25"/>
  <c r="F36" i="25"/>
  <c r="E36" i="25"/>
  <c r="D36" i="25"/>
  <c r="C36" i="25"/>
  <c r="B36" i="25"/>
  <c r="G35" i="25"/>
  <c r="F35" i="25"/>
  <c r="E35" i="25"/>
  <c r="D35" i="25"/>
  <c r="C35" i="25"/>
  <c r="B35" i="25"/>
  <c r="G34" i="25"/>
  <c r="F34" i="25"/>
  <c r="E34" i="25"/>
  <c r="D34" i="25"/>
  <c r="C34" i="25"/>
  <c r="B34" i="25"/>
  <c r="G33" i="25"/>
  <c r="F33" i="25"/>
  <c r="E33" i="25"/>
  <c r="D33" i="25"/>
  <c r="C33" i="25"/>
  <c r="B33" i="25"/>
  <c r="G32" i="25"/>
  <c r="F32" i="25"/>
  <c r="E32" i="25"/>
  <c r="D32" i="25"/>
  <c r="C32" i="25"/>
  <c r="B32" i="25"/>
  <c r="G26" i="25"/>
  <c r="F26" i="25"/>
  <c r="E26" i="25"/>
  <c r="D26" i="25"/>
  <c r="C26" i="25"/>
  <c r="B26" i="25"/>
  <c r="G25" i="25"/>
  <c r="F25" i="25"/>
  <c r="E25" i="25"/>
  <c r="D25" i="25"/>
  <c r="C25" i="25"/>
  <c r="B25" i="25"/>
  <c r="G24" i="25"/>
  <c r="F24" i="25"/>
  <c r="E24" i="25"/>
  <c r="D24" i="25"/>
  <c r="C24" i="25"/>
  <c r="B24" i="25"/>
  <c r="G23" i="25"/>
  <c r="F23" i="25"/>
  <c r="E23" i="25"/>
  <c r="D23" i="25"/>
  <c r="C23" i="25"/>
  <c r="B23" i="25"/>
  <c r="G22" i="25"/>
  <c r="F22" i="25"/>
  <c r="E22" i="25"/>
  <c r="D22" i="25"/>
  <c r="C22" i="25"/>
  <c r="B22" i="25"/>
  <c r="G21" i="25"/>
  <c r="F21" i="25"/>
  <c r="E21" i="25"/>
  <c r="D21" i="25"/>
  <c r="C21" i="25"/>
  <c r="B21" i="25"/>
  <c r="G20" i="25"/>
  <c r="F20" i="25"/>
  <c r="E20" i="25"/>
  <c r="D20" i="25"/>
  <c r="C20" i="25"/>
  <c r="B20" i="25"/>
  <c r="G19" i="25"/>
  <c r="F19" i="25"/>
  <c r="E19" i="25"/>
  <c r="D19" i="25"/>
  <c r="C19" i="25"/>
  <c r="B19" i="25"/>
  <c r="G13" i="25"/>
  <c r="F13" i="25"/>
  <c r="E13" i="25"/>
  <c r="D13" i="25"/>
  <c r="C13" i="25"/>
  <c r="B13" i="25"/>
  <c r="G12" i="25"/>
  <c r="F12" i="25"/>
  <c r="E12" i="25"/>
  <c r="D12" i="25"/>
  <c r="C12" i="25"/>
  <c r="B12" i="25"/>
  <c r="G11" i="25"/>
  <c r="F11" i="25"/>
  <c r="E11" i="25"/>
  <c r="D11" i="25"/>
  <c r="C11" i="25"/>
  <c r="B11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I85" i="15"/>
  <c r="H85" i="15"/>
  <c r="G85" i="15"/>
  <c r="F85" i="15"/>
  <c r="E85" i="15"/>
  <c r="D85" i="15"/>
  <c r="C85" i="15"/>
  <c r="B85" i="15"/>
  <c r="I84" i="15"/>
  <c r="H84" i="15"/>
  <c r="G84" i="15"/>
  <c r="F84" i="15"/>
  <c r="E84" i="15"/>
  <c r="D84" i="15"/>
  <c r="C84" i="15"/>
  <c r="B84" i="15"/>
  <c r="I83" i="15"/>
  <c r="H83" i="15"/>
  <c r="G83" i="15"/>
  <c r="F83" i="15"/>
  <c r="E83" i="15"/>
  <c r="D83" i="15"/>
  <c r="C83" i="15"/>
  <c r="B83" i="15"/>
  <c r="I82" i="15"/>
  <c r="H82" i="15"/>
  <c r="G82" i="15"/>
  <c r="F82" i="15"/>
  <c r="E82" i="15"/>
  <c r="D82" i="15"/>
  <c r="C82" i="15"/>
  <c r="B82" i="15"/>
  <c r="I81" i="15"/>
  <c r="H81" i="15"/>
  <c r="G81" i="15"/>
  <c r="F81" i="15"/>
  <c r="E81" i="15"/>
  <c r="D81" i="15"/>
  <c r="C81" i="15"/>
  <c r="B81" i="15"/>
  <c r="I80" i="15"/>
  <c r="H80" i="15"/>
  <c r="G80" i="15"/>
  <c r="F80" i="15"/>
  <c r="E80" i="15"/>
  <c r="D80" i="15"/>
  <c r="C80" i="15"/>
  <c r="B80" i="15"/>
  <c r="I79" i="15"/>
  <c r="H79" i="15"/>
  <c r="G79" i="15"/>
  <c r="F79" i="15"/>
  <c r="E79" i="15"/>
  <c r="D79" i="15"/>
  <c r="C79" i="15"/>
  <c r="B79" i="15"/>
  <c r="I78" i="15"/>
  <c r="H78" i="15"/>
  <c r="G78" i="15"/>
  <c r="F78" i="15"/>
  <c r="E78" i="15"/>
  <c r="D78" i="15"/>
  <c r="C78" i="15"/>
  <c r="B78" i="15"/>
  <c r="I73" i="15"/>
  <c r="H73" i="15"/>
  <c r="G73" i="15"/>
  <c r="F73" i="15"/>
  <c r="E73" i="15"/>
  <c r="D73" i="15"/>
  <c r="C73" i="15"/>
  <c r="B73" i="15"/>
  <c r="I72" i="15"/>
  <c r="H72" i="15"/>
  <c r="G72" i="15"/>
  <c r="F72" i="15"/>
  <c r="E72" i="15"/>
  <c r="D72" i="15"/>
  <c r="C72" i="15"/>
  <c r="B72" i="15"/>
  <c r="I71" i="15"/>
  <c r="H71" i="15"/>
  <c r="G71" i="15"/>
  <c r="F71" i="15"/>
  <c r="E71" i="15"/>
  <c r="D71" i="15"/>
  <c r="C71" i="15"/>
  <c r="B71" i="15"/>
  <c r="I70" i="15"/>
  <c r="H70" i="15"/>
  <c r="G70" i="15"/>
  <c r="F70" i="15"/>
  <c r="E70" i="15"/>
  <c r="D70" i="15"/>
  <c r="C70" i="15"/>
  <c r="B70" i="15"/>
  <c r="I69" i="15"/>
  <c r="H69" i="15"/>
  <c r="G69" i="15"/>
  <c r="F69" i="15"/>
  <c r="E69" i="15"/>
  <c r="D69" i="15"/>
  <c r="C69" i="15"/>
  <c r="B69" i="15"/>
  <c r="I68" i="15"/>
  <c r="H68" i="15"/>
  <c r="G68" i="15"/>
  <c r="F68" i="15"/>
  <c r="E68" i="15"/>
  <c r="D68" i="15"/>
  <c r="C68" i="15"/>
  <c r="B68" i="15"/>
  <c r="I67" i="15"/>
  <c r="H67" i="15"/>
  <c r="G67" i="15"/>
  <c r="F67" i="15"/>
  <c r="E67" i="15"/>
  <c r="D67" i="15"/>
  <c r="C67" i="15"/>
  <c r="B67" i="15"/>
  <c r="I66" i="15"/>
  <c r="H66" i="15"/>
  <c r="G66" i="15"/>
  <c r="F66" i="15"/>
  <c r="E66" i="15"/>
  <c r="D66" i="15"/>
  <c r="C66" i="15"/>
  <c r="B66" i="15"/>
  <c r="I61" i="15"/>
  <c r="H61" i="15"/>
  <c r="G61" i="15"/>
  <c r="F61" i="15"/>
  <c r="E61" i="15"/>
  <c r="D61" i="15"/>
  <c r="C61" i="15"/>
  <c r="B61" i="15"/>
  <c r="I60" i="15"/>
  <c r="H60" i="15"/>
  <c r="G60" i="15"/>
  <c r="F60" i="15"/>
  <c r="E60" i="15"/>
  <c r="D60" i="15"/>
  <c r="C60" i="15"/>
  <c r="B60" i="15"/>
  <c r="I59" i="15"/>
  <c r="H59" i="15"/>
  <c r="G59" i="15"/>
  <c r="F59" i="15"/>
  <c r="E59" i="15"/>
  <c r="D59" i="15"/>
  <c r="C59" i="15"/>
  <c r="B59" i="15"/>
  <c r="I58" i="15"/>
  <c r="H58" i="15"/>
  <c r="G58" i="15"/>
  <c r="F58" i="15"/>
  <c r="E58" i="15"/>
  <c r="D58" i="15"/>
  <c r="C58" i="15"/>
  <c r="B58" i="15"/>
  <c r="I57" i="15"/>
  <c r="H57" i="15"/>
  <c r="G57" i="15"/>
  <c r="F57" i="15"/>
  <c r="E57" i="15"/>
  <c r="D57" i="15"/>
  <c r="C57" i="15"/>
  <c r="B57" i="15"/>
  <c r="I56" i="15"/>
  <c r="H56" i="15"/>
  <c r="G56" i="15"/>
  <c r="F56" i="15"/>
  <c r="E56" i="15"/>
  <c r="D56" i="15"/>
  <c r="C56" i="15"/>
  <c r="B56" i="15"/>
  <c r="I55" i="15"/>
  <c r="H55" i="15"/>
  <c r="G55" i="15"/>
  <c r="F55" i="15"/>
  <c r="E55" i="15"/>
  <c r="D55" i="15"/>
  <c r="C55" i="15"/>
  <c r="B55" i="15"/>
  <c r="I54" i="15"/>
  <c r="H54" i="15"/>
  <c r="G54" i="15"/>
  <c r="F54" i="15"/>
  <c r="E54" i="15"/>
  <c r="D54" i="15"/>
  <c r="C54" i="15"/>
  <c r="B54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37" i="15"/>
  <c r="H37" i="15"/>
  <c r="G37" i="15"/>
  <c r="F37" i="15"/>
  <c r="E37" i="15"/>
  <c r="D37" i="15"/>
  <c r="C37" i="15"/>
  <c r="B37" i="15"/>
  <c r="I36" i="15"/>
  <c r="H36" i="15"/>
  <c r="G36" i="15"/>
  <c r="F36" i="15"/>
  <c r="E36" i="15"/>
  <c r="D36" i="15"/>
  <c r="C36" i="15"/>
  <c r="B36" i="15"/>
  <c r="I35" i="15"/>
  <c r="H35" i="15"/>
  <c r="G35" i="15"/>
  <c r="F35" i="15"/>
  <c r="E35" i="15"/>
  <c r="D35" i="15"/>
  <c r="C35" i="15"/>
  <c r="B35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32" i="15"/>
  <c r="H32" i="15"/>
  <c r="G32" i="15"/>
  <c r="F32" i="15"/>
  <c r="E32" i="15"/>
  <c r="D32" i="15"/>
  <c r="C32" i="15"/>
  <c r="B32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M86" i="13"/>
  <c r="L86" i="13"/>
  <c r="K86" i="13"/>
  <c r="J86" i="13"/>
  <c r="I86" i="13"/>
  <c r="H86" i="13"/>
  <c r="G86" i="13"/>
  <c r="F86" i="13"/>
  <c r="E86" i="13"/>
  <c r="D86" i="13"/>
  <c r="C86" i="13"/>
  <c r="B86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M9" i="13"/>
  <c r="L9" i="13"/>
  <c r="K9" i="13"/>
  <c r="J9" i="13"/>
  <c r="I9" i="13"/>
  <c r="H9" i="13"/>
  <c r="G9" i="13"/>
  <c r="F9" i="13"/>
  <c r="E9" i="13"/>
  <c r="D9" i="13"/>
  <c r="C9" i="13"/>
  <c r="B9" i="13"/>
  <c r="M8" i="13"/>
  <c r="L8" i="13"/>
  <c r="K8" i="13"/>
  <c r="J8" i="13"/>
  <c r="I8" i="13"/>
  <c r="H8" i="13"/>
  <c r="G8" i="13"/>
  <c r="F8" i="13"/>
  <c r="E8" i="13"/>
  <c r="D8" i="13"/>
  <c r="C8" i="13"/>
  <c r="B8" i="13"/>
  <c r="M7" i="13"/>
  <c r="L7" i="13"/>
  <c r="K7" i="13"/>
  <c r="J7" i="13"/>
  <c r="I7" i="13"/>
  <c r="H7" i="13"/>
  <c r="G7" i="13"/>
  <c r="F7" i="13"/>
  <c r="E7" i="13"/>
  <c r="D7" i="13"/>
  <c r="C7" i="13"/>
  <c r="B7" i="13"/>
  <c r="M6" i="13"/>
  <c r="L6" i="13"/>
  <c r="K6" i="13"/>
  <c r="J6" i="13"/>
  <c r="I6" i="13"/>
  <c r="H6" i="13"/>
  <c r="G6" i="13"/>
  <c r="F6" i="13"/>
  <c r="E6" i="13"/>
  <c r="D6" i="13"/>
  <c r="C6" i="13"/>
  <c r="B6" i="13"/>
  <c r="M5" i="13"/>
  <c r="L5" i="13"/>
  <c r="K5" i="13"/>
  <c r="J5" i="13"/>
  <c r="I5" i="13"/>
  <c r="H5" i="13"/>
  <c r="G5" i="13"/>
  <c r="F5" i="13"/>
  <c r="E5" i="13"/>
  <c r="D5" i="13"/>
  <c r="C5" i="13"/>
  <c r="B5" i="13"/>
  <c r="M4" i="13"/>
  <c r="L4" i="13"/>
  <c r="K4" i="13"/>
  <c r="J4" i="13"/>
  <c r="I4" i="13"/>
  <c r="H4" i="13"/>
  <c r="G4" i="13"/>
  <c r="F4" i="13"/>
  <c r="E4" i="13"/>
  <c r="D4" i="13"/>
  <c r="C4" i="13"/>
  <c r="B4" i="13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M27" i="11"/>
  <c r="L27" i="11"/>
  <c r="K27" i="11"/>
  <c r="J27" i="11"/>
  <c r="I27" i="11"/>
  <c r="H27" i="11"/>
  <c r="G27" i="11"/>
  <c r="F27" i="11"/>
  <c r="E27" i="11"/>
  <c r="D27" i="11"/>
  <c r="C27" i="11"/>
  <c r="B27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9" i="11"/>
  <c r="L9" i="11"/>
  <c r="K9" i="11"/>
  <c r="J9" i="11"/>
  <c r="I9" i="11"/>
  <c r="H9" i="11"/>
  <c r="G9" i="11"/>
  <c r="F9" i="11"/>
  <c r="E9" i="11"/>
  <c r="D9" i="11"/>
  <c r="C9" i="11"/>
  <c r="B9" i="11"/>
  <c r="M8" i="11"/>
  <c r="L8" i="11"/>
  <c r="K8" i="11"/>
  <c r="J8" i="11"/>
  <c r="I8" i="11"/>
  <c r="H8" i="11"/>
  <c r="G8" i="11"/>
  <c r="F8" i="11"/>
  <c r="E8" i="11"/>
  <c r="D8" i="11"/>
  <c r="C8" i="11"/>
  <c r="B8" i="11"/>
  <c r="M7" i="11"/>
  <c r="L7" i="11"/>
  <c r="K7" i="11"/>
  <c r="J7" i="11"/>
  <c r="I7" i="11"/>
  <c r="H7" i="11"/>
  <c r="G7" i="11"/>
  <c r="F7" i="11"/>
  <c r="E7" i="11"/>
  <c r="D7" i="11"/>
  <c r="C7" i="11"/>
  <c r="B7" i="11"/>
  <c r="C20" i="4"/>
  <c r="C19" i="4"/>
  <c r="C18" i="4"/>
  <c r="C15" i="4"/>
  <c r="C8" i="4"/>
  <c r="C7" i="4"/>
  <c r="C6" i="4"/>
  <c r="C3" i="4"/>
  <c r="C34" i="10"/>
  <c r="C33" i="10"/>
  <c r="C32" i="10"/>
  <c r="C31" i="10"/>
  <c r="C30" i="10"/>
  <c r="C29" i="10"/>
  <c r="C28" i="10"/>
  <c r="C27" i="10"/>
  <c r="C26" i="10"/>
  <c r="C22" i="10"/>
  <c r="C15" i="10"/>
  <c r="C14" i="10"/>
  <c r="C13" i="10"/>
  <c r="C12" i="10"/>
  <c r="C11" i="10"/>
  <c r="C10" i="10"/>
  <c r="C9" i="10"/>
  <c r="C8" i="10"/>
  <c r="C7" i="10"/>
  <c r="C3" i="10"/>
  <c r="C21" i="9"/>
  <c r="C20" i="9"/>
  <c r="C19" i="9"/>
  <c r="C15" i="9"/>
  <c r="C8" i="9"/>
  <c r="C7" i="9"/>
  <c r="C6" i="9"/>
  <c r="C2" i="9"/>
  <c r="C51" i="8"/>
  <c r="F51" i="8" s="1"/>
  <c r="C50" i="8"/>
  <c r="F50" i="8" s="1"/>
  <c r="C49" i="8"/>
  <c r="F49" i="8" s="1"/>
  <c r="C80" i="8" s="1"/>
  <c r="C48" i="8"/>
  <c r="F48" i="8" s="1"/>
  <c r="C79" i="8" s="1"/>
  <c r="C47" i="8"/>
  <c r="F47" i="8" s="1"/>
  <c r="C78" i="8" s="1"/>
  <c r="C46" i="8"/>
  <c r="F46" i="8" s="1"/>
  <c r="C77" i="8" s="1"/>
  <c r="C45" i="8"/>
  <c r="F45" i="8" s="1"/>
  <c r="C76" i="8" s="1"/>
  <c r="C44" i="8"/>
  <c r="F44" i="8" s="1"/>
  <c r="C75" i="8" s="1"/>
  <c r="C43" i="8"/>
  <c r="F43" i="8" s="1"/>
  <c r="C74" i="8" s="1"/>
  <c r="C42" i="8"/>
  <c r="F42" i="8" s="1"/>
  <c r="C73" i="8" s="1"/>
  <c r="C41" i="8"/>
  <c r="F41" i="8" s="1"/>
  <c r="C72" i="8" s="1"/>
  <c r="C40" i="8"/>
  <c r="F40" i="8" s="1"/>
  <c r="C71" i="8" s="1"/>
  <c r="C39" i="8"/>
  <c r="F39" i="8" s="1"/>
  <c r="C70" i="8" s="1"/>
  <c r="C38" i="8"/>
  <c r="F38" i="8" s="1"/>
  <c r="C69" i="8" s="1"/>
  <c r="C37" i="8"/>
  <c r="F37" i="8" s="1"/>
  <c r="C68" i="8" s="1"/>
  <c r="C36" i="8"/>
  <c r="F36" i="8" s="1"/>
  <c r="C67" i="8" s="1"/>
  <c r="C3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2" i="8"/>
  <c r="C23" i="7"/>
  <c r="C22" i="7"/>
  <c r="C21" i="7"/>
  <c r="C20" i="7"/>
  <c r="C16" i="7"/>
  <c r="C9" i="7"/>
  <c r="C8" i="7"/>
  <c r="C7" i="7"/>
  <c r="C6" i="7"/>
  <c r="C2" i="7"/>
  <c r="C18" i="6"/>
  <c r="C17" i="6"/>
  <c r="C13" i="6"/>
  <c r="C6" i="6"/>
  <c r="C5" i="6"/>
  <c r="C1" i="6"/>
  <c r="C33" i="5"/>
  <c r="C32" i="5"/>
  <c r="C31" i="5"/>
  <c r="C30" i="5"/>
  <c r="C29" i="5"/>
  <c r="C28" i="5"/>
  <c r="C27" i="5"/>
  <c r="C26" i="5"/>
  <c r="C25" i="5"/>
  <c r="C21" i="5"/>
  <c r="C14" i="5"/>
  <c r="C13" i="5"/>
  <c r="C12" i="5"/>
  <c r="C11" i="5"/>
  <c r="C10" i="5"/>
  <c r="C9" i="5"/>
  <c r="C8" i="5"/>
  <c r="C7" i="5"/>
  <c r="C6" i="5"/>
  <c r="C2" i="5"/>
  <c r="B21" i="23"/>
  <c r="I8" i="23" l="1"/>
  <c r="D18" i="3"/>
  <c r="F31" i="3"/>
  <c r="F34" i="3" s="1"/>
  <c r="I26" i="3"/>
  <c r="I8" i="3"/>
  <c r="H21" i="3"/>
  <c r="B18" i="3"/>
  <c r="C18" i="3"/>
  <c r="G18" i="3"/>
  <c r="B7" i="20"/>
  <c r="L5" i="20" s="1"/>
  <c r="L7" i="20" s="1"/>
  <c r="F38" i="15"/>
  <c r="F94" i="15" s="1"/>
  <c r="I10" i="22"/>
  <c r="S6" i="22" s="1"/>
  <c r="I29" i="22"/>
  <c r="D19" i="22"/>
  <c r="D29" i="22"/>
  <c r="D74" i="22"/>
  <c r="E24" i="27"/>
  <c r="E29" i="27" s="1"/>
  <c r="F56" i="16"/>
  <c r="B65" i="16"/>
  <c r="R65" i="16"/>
  <c r="E10" i="28"/>
  <c r="E15" i="28" s="1"/>
  <c r="F30" i="5"/>
  <c r="C50" i="5" s="1"/>
  <c r="F21" i="9"/>
  <c r="C35" i="9" s="1"/>
  <c r="I15" i="11"/>
  <c r="W14" i="11" s="1"/>
  <c r="E19" i="22"/>
  <c r="E29" i="22"/>
  <c r="E38" i="22"/>
  <c r="E47" i="22"/>
  <c r="E56" i="22"/>
  <c r="E65" i="22"/>
  <c r="H30" i="19"/>
  <c r="R28" i="19" s="1"/>
  <c r="I74" i="16"/>
  <c r="D10" i="28"/>
  <c r="D15" i="28" s="1"/>
  <c r="C7" i="20"/>
  <c r="M5" i="20" s="1"/>
  <c r="G25" i="15"/>
  <c r="G93" i="15" s="1"/>
  <c r="H74" i="15"/>
  <c r="H97" i="15" s="1"/>
  <c r="D38" i="15"/>
  <c r="D94" i="15" s="1"/>
  <c r="D62" i="15"/>
  <c r="D96" i="15" s="1"/>
  <c r="D86" i="15"/>
  <c r="D98" i="15" s="1"/>
  <c r="B10" i="27"/>
  <c r="B15" i="27" s="1"/>
  <c r="G10" i="28"/>
  <c r="G15" i="28" s="1"/>
  <c r="F6" i="6"/>
  <c r="B31" i="6" s="1"/>
  <c r="F6" i="7"/>
  <c r="B35" i="7" s="1"/>
  <c r="F14" i="8"/>
  <c r="B74" i="8" s="1"/>
  <c r="O74" i="16"/>
  <c r="F18" i="8"/>
  <c r="B78" i="8" s="1"/>
  <c r="J56" i="16"/>
  <c r="F65" i="16"/>
  <c r="F28" i="5"/>
  <c r="C48" i="5" s="1"/>
  <c r="F20" i="9"/>
  <c r="C34" i="9" s="1"/>
  <c r="I38" i="15"/>
  <c r="I94" i="15" s="1"/>
  <c r="I62" i="15"/>
  <c r="I96" i="15" s="1"/>
  <c r="E10" i="27"/>
  <c r="E15" i="27" s="1"/>
  <c r="H74" i="16"/>
  <c r="F7" i="9"/>
  <c r="B34" i="9" s="1"/>
  <c r="C25" i="15"/>
  <c r="C93" i="15" s="1"/>
  <c r="F16" i="8"/>
  <c r="B76" i="8" s="1"/>
  <c r="E86" i="15"/>
  <c r="E98" i="15" s="1"/>
  <c r="K87" i="13"/>
  <c r="K97" i="13" s="1"/>
  <c r="H38" i="22"/>
  <c r="H47" i="22"/>
  <c r="H56" i="22"/>
  <c r="H65" i="22"/>
  <c r="C19" i="22"/>
  <c r="C29" i="22"/>
  <c r="C38" i="22"/>
  <c r="F10" i="22"/>
  <c r="P6" i="22" s="1"/>
  <c r="F19" i="22"/>
  <c r="F29" i="22"/>
  <c r="F33" i="5"/>
  <c r="C53" i="5" s="1"/>
  <c r="D28" i="11"/>
  <c r="R24" i="11" s="1"/>
  <c r="L12" i="13"/>
  <c r="L91" i="13" s="1"/>
  <c r="G24" i="27"/>
  <c r="G29" i="27" s="1"/>
  <c r="M73" i="13"/>
  <c r="M96" i="13" s="1"/>
  <c r="M87" i="13"/>
  <c r="M97" i="13" s="1"/>
  <c r="C36" i="13"/>
  <c r="C93" i="13" s="1"/>
  <c r="F27" i="5"/>
  <c r="C47" i="5" s="1"/>
  <c r="H30" i="20"/>
  <c r="R28" i="20" s="1"/>
  <c r="I12" i="13"/>
  <c r="I91" i="13" s="1"/>
  <c r="M12" i="13"/>
  <c r="M91" i="13" s="1"/>
  <c r="I24" i="13"/>
  <c r="I92" i="13" s="1"/>
  <c r="K19" i="16"/>
  <c r="G8" i="21"/>
  <c r="G15" i="21" s="1"/>
  <c r="H9" i="28"/>
  <c r="D10" i="27"/>
  <c r="D15" i="27" s="1"/>
  <c r="Q10" i="16"/>
  <c r="AJ9" i="16" s="1"/>
  <c r="B10" i="16"/>
  <c r="U9" i="16" s="1"/>
  <c r="R10" i="16"/>
  <c r="AK9" i="16" s="1"/>
  <c r="C74" i="15"/>
  <c r="C97" i="15" s="1"/>
  <c r="C86" i="15"/>
  <c r="C98" i="15" s="1"/>
  <c r="B7" i="19"/>
  <c r="K5" i="19" s="1"/>
  <c r="K7" i="19" s="1"/>
  <c r="F9" i="8"/>
  <c r="B69" i="8" s="1"/>
  <c r="J74" i="16"/>
  <c r="F10" i="8"/>
  <c r="B70" i="8" s="1"/>
  <c r="H7" i="21"/>
  <c r="K38" i="16"/>
  <c r="C56" i="16"/>
  <c r="O65" i="16"/>
  <c r="L74" i="16"/>
  <c r="F12" i="8"/>
  <c r="B72" i="8" s="1"/>
  <c r="P29" i="16"/>
  <c r="H47" i="16"/>
  <c r="D12" i="23"/>
  <c r="D17" i="23" s="1"/>
  <c r="E19" i="16"/>
  <c r="Q65" i="16"/>
  <c r="L48" i="12"/>
  <c r="L82" i="12" s="1"/>
  <c r="K10" i="16"/>
  <c r="AD8" i="16" s="1"/>
  <c r="I11" i="23"/>
  <c r="E36" i="12"/>
  <c r="E81" i="12" s="1"/>
  <c r="F36" i="12"/>
  <c r="F81" i="12" s="1"/>
  <c r="M48" i="12"/>
  <c r="M82" i="12" s="1"/>
  <c r="E60" i="12"/>
  <c r="E83" i="12" s="1"/>
  <c r="P38" i="16"/>
  <c r="L47" i="16"/>
  <c r="I19" i="16"/>
  <c r="L87" i="13"/>
  <c r="L97" i="13" s="1"/>
  <c r="H10" i="22"/>
  <c r="R8" i="22" s="1"/>
  <c r="H19" i="22"/>
  <c r="H29" i="22"/>
  <c r="G38" i="22"/>
  <c r="G47" i="22"/>
  <c r="G56" i="22"/>
  <c r="G65" i="22"/>
  <c r="G74" i="22"/>
  <c r="E34" i="21"/>
  <c r="E41" i="21" s="1"/>
  <c r="F24" i="27"/>
  <c r="F29" i="27" s="1"/>
  <c r="I33" i="21"/>
  <c r="F28" i="23"/>
  <c r="F33" i="23" s="1"/>
  <c r="C79" i="26"/>
  <c r="C92" i="26"/>
  <c r="C102" i="26" s="1"/>
  <c r="F26" i="5"/>
  <c r="C46" i="5" s="1"/>
  <c r="I31" i="21"/>
  <c r="F25" i="5"/>
  <c r="C45" i="5" s="1"/>
  <c r="G27" i="25"/>
  <c r="F92" i="26"/>
  <c r="F102" i="26" s="1"/>
  <c r="D36" i="13"/>
  <c r="D93" i="13" s="1"/>
  <c r="C60" i="13"/>
  <c r="C95" i="13" s="1"/>
  <c r="C73" i="13"/>
  <c r="C96" i="13" s="1"/>
  <c r="C87" i="13"/>
  <c r="C97" i="13" s="1"/>
  <c r="G14" i="26"/>
  <c r="G79" i="26"/>
  <c r="G92" i="26"/>
  <c r="G102" i="26" s="1"/>
  <c r="I22" i="28"/>
  <c r="D60" i="13"/>
  <c r="D95" i="13" s="1"/>
  <c r="D73" i="13"/>
  <c r="D96" i="13" s="1"/>
  <c r="D87" i="13"/>
  <c r="D97" i="13" s="1"/>
  <c r="E31" i="3"/>
  <c r="E34" i="3" s="1"/>
  <c r="I30" i="3"/>
  <c r="E48" i="13"/>
  <c r="E94" i="13" s="1"/>
  <c r="G12" i="13"/>
  <c r="G91" i="13" s="1"/>
  <c r="G36" i="13"/>
  <c r="G93" i="13" s="1"/>
  <c r="F73" i="13"/>
  <c r="F96" i="13" s="1"/>
  <c r="B19" i="22"/>
  <c r="B29" i="22"/>
  <c r="H24" i="13"/>
  <c r="H92" i="13" s="1"/>
  <c r="D24" i="13"/>
  <c r="D92" i="13" s="1"/>
  <c r="D30" i="19"/>
  <c r="N28" i="19" s="1"/>
  <c r="H31" i="3"/>
  <c r="I34" i="3" s="1"/>
  <c r="J28" i="11"/>
  <c r="X26" i="11" s="1"/>
  <c r="I73" i="13"/>
  <c r="I96" i="13" s="1"/>
  <c r="G40" i="25"/>
  <c r="G53" i="25"/>
  <c r="G91" i="25"/>
  <c r="G101" i="25" s="1"/>
  <c r="F65" i="22"/>
  <c r="F74" i="22"/>
  <c r="J26" i="23"/>
  <c r="F29" i="5"/>
  <c r="C49" i="5" s="1"/>
  <c r="K28" i="11"/>
  <c r="Y27" i="11" s="1"/>
  <c r="K12" i="13"/>
  <c r="K91" i="13" s="1"/>
  <c r="M24" i="13"/>
  <c r="M92" i="13" s="1"/>
  <c r="H36" i="13"/>
  <c r="H93" i="13" s="1"/>
  <c r="B60" i="13"/>
  <c r="B95" i="13" s="1"/>
  <c r="F60" i="13"/>
  <c r="F95" i="13" s="1"/>
  <c r="B73" i="13"/>
  <c r="B96" i="13" s="1"/>
  <c r="B38" i="22"/>
  <c r="B47" i="22"/>
  <c r="B56" i="22"/>
  <c r="B65" i="22"/>
  <c r="B30" i="20"/>
  <c r="L28" i="20" s="1"/>
  <c r="H24" i="27"/>
  <c r="H29" i="27" s="1"/>
  <c r="H12" i="13"/>
  <c r="H91" i="13" s="1"/>
  <c r="C47" i="22"/>
  <c r="C56" i="22"/>
  <c r="C65" i="22"/>
  <c r="B74" i="22"/>
  <c r="C30" i="20"/>
  <c r="M28" i="20" s="1"/>
  <c r="I23" i="27"/>
  <c r="F31" i="5"/>
  <c r="C51" i="5" s="1"/>
  <c r="M28" i="11"/>
  <c r="AA25" i="11" s="1"/>
  <c r="J36" i="13"/>
  <c r="J93" i="13" s="1"/>
  <c r="H48" i="13"/>
  <c r="H94" i="13" s="1"/>
  <c r="D48" i="13"/>
  <c r="D94" i="13" s="1"/>
  <c r="H73" i="13"/>
  <c r="H96" i="13" s="1"/>
  <c r="B14" i="26"/>
  <c r="D38" i="22"/>
  <c r="D47" i="22"/>
  <c r="D56" i="22"/>
  <c r="D65" i="22"/>
  <c r="C74" i="22"/>
  <c r="D30" i="20"/>
  <c r="N29" i="20" s="1"/>
  <c r="F32" i="5"/>
  <c r="C52" i="5" s="1"/>
  <c r="L24" i="13"/>
  <c r="L92" i="13" s="1"/>
  <c r="I48" i="13"/>
  <c r="I94" i="13" s="1"/>
  <c r="M48" i="13"/>
  <c r="M94" i="13" s="1"/>
  <c r="B66" i="26"/>
  <c r="B100" i="26" s="1"/>
  <c r="B92" i="26"/>
  <c r="B102" i="26" s="1"/>
  <c r="G87" i="13"/>
  <c r="G97" i="13" s="1"/>
  <c r="C40" i="26"/>
  <c r="C98" i="26" s="1"/>
  <c r="C53" i="26"/>
  <c r="G19" i="22"/>
  <c r="G29" i="22"/>
  <c r="F38" i="22"/>
  <c r="F47" i="22"/>
  <c r="F56" i="22"/>
  <c r="E74" i="22"/>
  <c r="C34" i="21"/>
  <c r="C41" i="21" s="1"/>
  <c r="F30" i="20"/>
  <c r="P29" i="20" s="1"/>
  <c r="J24" i="13"/>
  <c r="J92" i="13" s="1"/>
  <c r="M36" i="13"/>
  <c r="M93" i="13" s="1"/>
  <c r="K48" i="13"/>
  <c r="K94" i="13" s="1"/>
  <c r="H87" i="13"/>
  <c r="H97" i="13" s="1"/>
  <c r="E14" i="26"/>
  <c r="D27" i="26"/>
  <c r="D97" i="26" s="1"/>
  <c r="D79" i="26"/>
  <c r="D92" i="26"/>
  <c r="D102" i="26" s="1"/>
  <c r="D34" i="21"/>
  <c r="D43" i="21" s="1"/>
  <c r="C24" i="13"/>
  <c r="C92" i="13" s="1"/>
  <c r="L48" i="13"/>
  <c r="L94" i="13" s="1"/>
  <c r="L60" i="13"/>
  <c r="L95" i="13" s="1"/>
  <c r="H60" i="13"/>
  <c r="H95" i="13" s="1"/>
  <c r="E40" i="26"/>
  <c r="E98" i="26" s="1"/>
  <c r="E53" i="26"/>
  <c r="E79" i="26"/>
  <c r="G28" i="23"/>
  <c r="G33" i="23" s="1"/>
  <c r="C24" i="7"/>
  <c r="F23" i="7" s="1"/>
  <c r="C38" i="7" s="1"/>
  <c r="F28" i="11"/>
  <c r="T27" i="11" s="1"/>
  <c r="M60" i="13"/>
  <c r="M95" i="13" s="1"/>
  <c r="J87" i="13"/>
  <c r="J97" i="13" s="1"/>
  <c r="F40" i="26"/>
  <c r="F98" i="26" s="1"/>
  <c r="F53" i="26"/>
  <c r="I38" i="22"/>
  <c r="I47" i="22"/>
  <c r="I56" i="22"/>
  <c r="I65" i="22"/>
  <c r="H74" i="22"/>
  <c r="F34" i="21"/>
  <c r="F42" i="21" s="1"/>
  <c r="E24" i="13"/>
  <c r="E92" i="13" s="1"/>
  <c r="B14" i="25"/>
  <c r="B27" i="25"/>
  <c r="C96" i="25" s="1"/>
  <c r="G34" i="21"/>
  <c r="G41" i="21" s="1"/>
  <c r="G31" i="3"/>
  <c r="G34" i="3" s="1"/>
  <c r="I28" i="3"/>
  <c r="I23" i="29"/>
  <c r="I28" i="23"/>
  <c r="I33" i="23" s="1"/>
  <c r="H28" i="11"/>
  <c r="V24" i="11" s="1"/>
  <c r="G48" i="13"/>
  <c r="G94" i="13" s="1"/>
  <c r="B79" i="25"/>
  <c r="E100" i="25" s="1"/>
  <c r="B91" i="25"/>
  <c r="B101" i="25" s="1"/>
  <c r="H34" i="21"/>
  <c r="H40" i="21" s="1"/>
  <c r="C21" i="4"/>
  <c r="F18" i="4" s="1"/>
  <c r="E12" i="13"/>
  <c r="E91" i="13" s="1"/>
  <c r="F36" i="13"/>
  <c r="F93" i="13" s="1"/>
  <c r="L73" i="13"/>
  <c r="L96" i="13" s="1"/>
  <c r="C53" i="25"/>
  <c r="C66" i="25"/>
  <c r="C91" i="25"/>
  <c r="C101" i="25" s="1"/>
  <c r="J27" i="23"/>
  <c r="C34" i="5"/>
  <c r="C22" i="9"/>
  <c r="B12" i="13"/>
  <c r="B91" i="13" s="1"/>
  <c r="F12" i="13"/>
  <c r="F91" i="13" s="1"/>
  <c r="F87" i="13"/>
  <c r="F97" i="13" s="1"/>
  <c r="E14" i="25"/>
  <c r="E27" i="25"/>
  <c r="D40" i="25"/>
  <c r="D53" i="25"/>
  <c r="D91" i="25"/>
  <c r="D101" i="25" s="1"/>
  <c r="E30" i="20"/>
  <c r="O28" i="20" s="1"/>
  <c r="H24" i="28"/>
  <c r="H29" i="28" s="1"/>
  <c r="C55" i="8"/>
  <c r="G28" i="11"/>
  <c r="U26" i="11" s="1"/>
  <c r="F14" i="25"/>
  <c r="E53" i="25"/>
  <c r="E66" i="25"/>
  <c r="E79" i="25"/>
  <c r="E91" i="25"/>
  <c r="E101" i="25" s="1"/>
  <c r="F35" i="8"/>
  <c r="C66" i="8" s="1"/>
  <c r="B24" i="13"/>
  <c r="B92" i="13" s="1"/>
  <c r="F24" i="13"/>
  <c r="F92" i="13" s="1"/>
  <c r="I36" i="13"/>
  <c r="I93" i="13" s="1"/>
  <c r="G60" i="13"/>
  <c r="G95" i="13" s="1"/>
  <c r="G14" i="25"/>
  <c r="F53" i="25"/>
  <c r="F66" i="25"/>
  <c r="F91" i="25"/>
  <c r="F101" i="25" s="1"/>
  <c r="G30" i="20"/>
  <c r="Q28" i="20" s="1"/>
  <c r="G30" i="19"/>
  <c r="K37" i="19" s="1"/>
  <c r="C10" i="22"/>
  <c r="M8" i="22" s="1"/>
  <c r="I23" i="28"/>
  <c r="F11" i="5"/>
  <c r="B50" i="5" s="1"/>
  <c r="C9" i="4"/>
  <c r="F7" i="4" s="1"/>
  <c r="B48" i="12"/>
  <c r="B82" i="12" s="1"/>
  <c r="K60" i="12"/>
  <c r="K83" i="12" s="1"/>
  <c r="B72" i="12"/>
  <c r="B84" i="12" s="1"/>
  <c r="C72" i="12"/>
  <c r="C84" i="12" s="1"/>
  <c r="E50" i="15"/>
  <c r="E95" i="15" s="1"/>
  <c r="K68" i="17"/>
  <c r="K106" i="17" s="1"/>
  <c r="P10" i="16"/>
  <c r="AI7" i="16" s="1"/>
  <c r="J19" i="16"/>
  <c r="F29" i="16"/>
  <c r="E29" i="16"/>
  <c r="Q38" i="16"/>
  <c r="F12" i="5"/>
  <c r="B51" i="5" s="1"/>
  <c r="L60" i="12"/>
  <c r="L83" i="12" s="1"/>
  <c r="D72" i="12"/>
  <c r="D84" i="12" s="1"/>
  <c r="F62" i="15"/>
  <c r="F96" i="15" s="1"/>
  <c r="F74" i="15"/>
  <c r="F97" i="15" s="1"/>
  <c r="E48" i="12"/>
  <c r="E82" i="12" s="1"/>
  <c r="M60" i="12"/>
  <c r="M83" i="12" s="1"/>
  <c r="G13" i="15"/>
  <c r="G38" i="15"/>
  <c r="G94" i="15" s="1"/>
  <c r="G50" i="15"/>
  <c r="G95" i="15" s="1"/>
  <c r="G62" i="15"/>
  <c r="G96" i="15" s="1"/>
  <c r="G74" i="15"/>
  <c r="G97" i="15" s="1"/>
  <c r="G86" i="15"/>
  <c r="G98" i="15" s="1"/>
  <c r="C7" i="19"/>
  <c r="L6" i="19" s="1"/>
  <c r="G10" i="27"/>
  <c r="G15" i="27" s="1"/>
  <c r="F6" i="5"/>
  <c r="B45" i="5" s="1"/>
  <c r="F48" i="12"/>
  <c r="F82" i="12" s="1"/>
  <c r="H38" i="15"/>
  <c r="H94" i="15" s="1"/>
  <c r="H62" i="15"/>
  <c r="H96" i="15" s="1"/>
  <c r="D8" i="21"/>
  <c r="D14" i="21" s="1"/>
  <c r="D7" i="19"/>
  <c r="M5" i="19" s="1"/>
  <c r="H9" i="27"/>
  <c r="F7" i="7"/>
  <c r="B36" i="7" s="1"/>
  <c r="F14" i="5"/>
  <c r="B53" i="5" s="1"/>
  <c r="C9" i="9"/>
  <c r="B12" i="23"/>
  <c r="F8" i="8"/>
  <c r="B68" i="8" s="1"/>
  <c r="F21" i="8"/>
  <c r="O36" i="12"/>
  <c r="O81" i="12" s="1"/>
  <c r="G72" i="12"/>
  <c r="G84" i="12" s="1"/>
  <c r="I13" i="15"/>
  <c r="I74" i="15"/>
  <c r="I97" i="15" s="1"/>
  <c r="G26" i="17"/>
  <c r="G103" i="17" s="1"/>
  <c r="D10" i="16"/>
  <c r="W7" i="16" s="1"/>
  <c r="I29" i="16"/>
  <c r="D7" i="20"/>
  <c r="N5" i="20" s="1"/>
  <c r="O12" i="12"/>
  <c r="O79" i="12" s="1"/>
  <c r="H24" i="12"/>
  <c r="H80" i="12" s="1"/>
  <c r="B38" i="15"/>
  <c r="B94" i="15" s="1"/>
  <c r="B62" i="15"/>
  <c r="B96" i="15" s="1"/>
  <c r="B86" i="15"/>
  <c r="B98" i="15" s="1"/>
  <c r="N19" i="16"/>
  <c r="E7" i="20"/>
  <c r="O6" i="20" s="1"/>
  <c r="F7" i="19"/>
  <c r="O6" i="19" s="1"/>
  <c r="P12" i="12"/>
  <c r="P79" i="12" s="1"/>
  <c r="P60" i="12"/>
  <c r="P83" i="12" s="1"/>
  <c r="K65" i="16"/>
  <c r="F10" i="5"/>
  <c r="B49" i="5" s="1"/>
  <c r="D25" i="15"/>
  <c r="D93" i="15" s="1"/>
  <c r="L65" i="16"/>
  <c r="K82" i="17"/>
  <c r="K107" i="17" s="1"/>
  <c r="H10" i="16"/>
  <c r="AA6" i="16" s="1"/>
  <c r="B19" i="16"/>
  <c r="R19" i="16"/>
  <c r="Q56" i="16"/>
  <c r="M65" i="16"/>
  <c r="D40" i="17"/>
  <c r="D104" i="17" s="1"/>
  <c r="C19" i="16"/>
  <c r="F47" i="16"/>
  <c r="N65" i="16"/>
  <c r="K74" i="16"/>
  <c r="F10" i="29"/>
  <c r="F15" i="29" s="1"/>
  <c r="N72" i="12"/>
  <c r="N84" i="12" s="1"/>
  <c r="F7" i="5"/>
  <c r="B46" i="5" s="1"/>
  <c r="D26" i="17"/>
  <c r="D103" i="17" s="1"/>
  <c r="C26" i="17"/>
  <c r="C103" i="17" s="1"/>
  <c r="B29" i="16"/>
  <c r="R29" i="16"/>
  <c r="E56" i="16"/>
  <c r="N74" i="16"/>
  <c r="H40" i="17"/>
  <c r="H104" i="17" s="1"/>
  <c r="H96" i="17"/>
  <c r="H108" i="17" s="1"/>
  <c r="J47" i="16"/>
  <c r="M15" i="11"/>
  <c r="AA7" i="11" s="1"/>
  <c r="P24" i="12"/>
  <c r="P80" i="12" s="1"/>
  <c r="I36" i="12"/>
  <c r="I81" i="12" s="1"/>
  <c r="P72" i="12"/>
  <c r="P84" i="12" s="1"/>
  <c r="C13" i="15"/>
  <c r="C38" i="15"/>
  <c r="C94" i="15" s="1"/>
  <c r="C50" i="15"/>
  <c r="C95" i="15" s="1"/>
  <c r="C62" i="15"/>
  <c r="C96" i="15" s="1"/>
  <c r="O38" i="16"/>
  <c r="K47" i="16"/>
  <c r="G56" i="16"/>
  <c r="J60" i="12"/>
  <c r="J83" i="12" s="1"/>
  <c r="J13" i="17"/>
  <c r="C15" i="11"/>
  <c r="Q14" i="11" s="1"/>
  <c r="F12" i="12"/>
  <c r="F79" i="12" s="1"/>
  <c r="H72" i="12"/>
  <c r="H84" i="12" s="1"/>
  <c r="H13" i="15"/>
  <c r="F50" i="15"/>
  <c r="F95" i="15" s="1"/>
  <c r="E74" i="15"/>
  <c r="E97" i="15" s="1"/>
  <c r="J68" i="17"/>
  <c r="J106" i="17" s="1"/>
  <c r="I47" i="16"/>
  <c r="B56" i="16"/>
  <c r="R56" i="16"/>
  <c r="J65" i="16"/>
  <c r="F9" i="5"/>
  <c r="B48" i="5" s="1"/>
  <c r="F19" i="8"/>
  <c r="B79" i="8" s="1"/>
  <c r="D60" i="12"/>
  <c r="D83" i="12" s="1"/>
  <c r="B13" i="15"/>
  <c r="I40" i="17"/>
  <c r="I104" i="17" s="1"/>
  <c r="D56" i="16"/>
  <c r="E74" i="16"/>
  <c r="F74" i="16"/>
  <c r="H5" i="21"/>
  <c r="H6" i="20"/>
  <c r="E12" i="23"/>
  <c r="E17" i="23" s="1"/>
  <c r="F6" i="8"/>
  <c r="B66" i="8" s="1"/>
  <c r="F20" i="8"/>
  <c r="B80" i="8" s="1"/>
  <c r="F60" i="12"/>
  <c r="F83" i="12" s="1"/>
  <c r="I50" i="15"/>
  <c r="I95" i="15" s="1"/>
  <c r="H86" i="15"/>
  <c r="H98" i="15" s="1"/>
  <c r="L13" i="17"/>
  <c r="J40" i="17"/>
  <c r="J104" i="17" s="1"/>
  <c r="I68" i="17"/>
  <c r="I106" i="17" s="1"/>
  <c r="G96" i="17"/>
  <c r="G108" i="17" s="1"/>
  <c r="C8" i="21"/>
  <c r="C14" i="21" s="1"/>
  <c r="G7" i="19"/>
  <c r="J12" i="12"/>
  <c r="J79" i="12" s="1"/>
  <c r="B24" i="12"/>
  <c r="B80" i="12" s="1"/>
  <c r="C24" i="12"/>
  <c r="C80" i="12" s="1"/>
  <c r="J36" i="12"/>
  <c r="J81" i="12" s="1"/>
  <c r="B54" i="17"/>
  <c r="B105" i="17" s="1"/>
  <c r="G12" i="23"/>
  <c r="G17" i="23" s="1"/>
  <c r="K12" i="12"/>
  <c r="K79" i="12" s="1"/>
  <c r="K36" i="12"/>
  <c r="K81" i="12" s="1"/>
  <c r="G60" i="12"/>
  <c r="G83" i="12" s="1"/>
  <c r="E13" i="15"/>
  <c r="B74" i="15"/>
  <c r="B97" i="15" s="1"/>
  <c r="E26" i="17"/>
  <c r="E103" i="17" s="1"/>
  <c r="L40" i="17"/>
  <c r="L104" i="17" s="1"/>
  <c r="M10" i="16"/>
  <c r="AF7" i="16" s="1"/>
  <c r="D38" i="16"/>
  <c r="E8" i="21"/>
  <c r="E14" i="21" s="1"/>
  <c r="I13" i="3"/>
  <c r="L36" i="12"/>
  <c r="L81" i="12" s="1"/>
  <c r="C48" i="12"/>
  <c r="C82" i="12" s="1"/>
  <c r="H60" i="12"/>
  <c r="H83" i="12" s="1"/>
  <c r="O72" i="12"/>
  <c r="O84" i="12" s="1"/>
  <c r="F13" i="15"/>
  <c r="D50" i="15"/>
  <c r="D95" i="15" s="1"/>
  <c r="C13" i="17"/>
  <c r="C82" i="17"/>
  <c r="C107" i="17" s="1"/>
  <c r="H82" i="17"/>
  <c r="H107" i="17" s="1"/>
  <c r="G82" i="17"/>
  <c r="G107" i="17" s="1"/>
  <c r="D19" i="16"/>
  <c r="M29" i="16"/>
  <c r="P65" i="16"/>
  <c r="E7" i="19"/>
  <c r="N5" i="19" s="1"/>
  <c r="G15" i="11"/>
  <c r="U14" i="11" s="1"/>
  <c r="F24" i="12"/>
  <c r="F80" i="12" s="1"/>
  <c r="G24" i="12"/>
  <c r="G80" i="12" s="1"/>
  <c r="M36" i="12"/>
  <c r="M81" i="12" s="1"/>
  <c r="D48" i="12"/>
  <c r="D82" i="12" s="1"/>
  <c r="I60" i="12"/>
  <c r="I83" i="12" s="1"/>
  <c r="E38" i="15"/>
  <c r="E94" i="15" s="1"/>
  <c r="E62" i="15"/>
  <c r="E96" i="15" s="1"/>
  <c r="D74" i="15"/>
  <c r="D97" i="15" s="1"/>
  <c r="E54" i="17"/>
  <c r="E105" i="17" s="1"/>
  <c r="J54" i="17"/>
  <c r="J105" i="17" s="1"/>
  <c r="D54" i="17"/>
  <c r="D105" i="17" s="1"/>
  <c r="O10" i="16"/>
  <c r="AH6" i="16" s="1"/>
  <c r="P47" i="16"/>
  <c r="O47" i="16"/>
  <c r="G12" i="12"/>
  <c r="G79" i="12" s="1"/>
  <c r="I10" i="23"/>
  <c r="N12" i="12"/>
  <c r="N79" i="12" s="1"/>
  <c r="F54" i="17"/>
  <c r="F105" i="17" s="1"/>
  <c r="F19" i="16"/>
  <c r="O29" i="16"/>
  <c r="N29" i="16"/>
  <c r="H38" i="16"/>
  <c r="C14" i="3"/>
  <c r="G14" i="3"/>
  <c r="C12" i="23"/>
  <c r="C17" i="23" s="1"/>
  <c r="C10" i="7"/>
  <c r="H25" i="15"/>
  <c r="H93" i="15" s="1"/>
  <c r="F86" i="15"/>
  <c r="F98" i="15" s="1"/>
  <c r="G13" i="17"/>
  <c r="F13" i="17"/>
  <c r="G19" i="16"/>
  <c r="M74" i="16"/>
  <c r="H9" i="29"/>
  <c r="F9" i="7"/>
  <c r="B38" i="7" s="1"/>
  <c r="F11" i="8"/>
  <c r="B71" i="8" s="1"/>
  <c r="F15" i="11"/>
  <c r="T9" i="11" s="1"/>
  <c r="J24" i="12"/>
  <c r="J80" i="12" s="1"/>
  <c r="H50" i="15"/>
  <c r="H95" i="15" s="1"/>
  <c r="H19" i="16"/>
  <c r="Q29" i="16"/>
  <c r="J38" i="16"/>
  <c r="I38" i="16"/>
  <c r="C47" i="16"/>
  <c r="G7" i="20"/>
  <c r="K26" i="17"/>
  <c r="K103" i="17" s="1"/>
  <c r="J26" i="17"/>
  <c r="J103" i="17" s="1"/>
  <c r="B40" i="17"/>
  <c r="B104" i="17" s="1"/>
  <c r="I54" i="17"/>
  <c r="I105" i="17" s="1"/>
  <c r="C10" i="16"/>
  <c r="V8" i="16" s="1"/>
  <c r="F10" i="27"/>
  <c r="F15" i="27" s="1"/>
  <c r="F13" i="5"/>
  <c r="B52" i="5" s="1"/>
  <c r="F13" i="8"/>
  <c r="B73" i="8" s="1"/>
  <c r="H15" i="11"/>
  <c r="V11" i="11" s="1"/>
  <c r="B12" i="12"/>
  <c r="B79" i="12" s="1"/>
  <c r="C36" i="12"/>
  <c r="C81" i="12" s="1"/>
  <c r="N60" i="12"/>
  <c r="N83" i="12" s="1"/>
  <c r="D13" i="15"/>
  <c r="I86" i="15"/>
  <c r="I98" i="15" s="1"/>
  <c r="E13" i="17"/>
  <c r="L26" i="17"/>
  <c r="L103" i="17" s="1"/>
  <c r="E96" i="17"/>
  <c r="E108" i="17" s="1"/>
  <c r="D96" i="17"/>
  <c r="D108" i="17" s="1"/>
  <c r="C29" i="16"/>
  <c r="L38" i="16"/>
  <c r="E47" i="16"/>
  <c r="D47" i="16"/>
  <c r="N56" i="16"/>
  <c r="E65" i="16"/>
  <c r="C12" i="12"/>
  <c r="C79" i="12" s="1"/>
  <c r="D12" i="12"/>
  <c r="D79" i="12" s="1"/>
  <c r="J48" i="12"/>
  <c r="J82" i="12" s="1"/>
  <c r="E72" i="12"/>
  <c r="E84" i="12" s="1"/>
  <c r="K54" i="17"/>
  <c r="K105" i="17" s="1"/>
  <c r="C68" i="17"/>
  <c r="C106" i="17" s="1"/>
  <c r="J82" i="17"/>
  <c r="J107" i="17" s="1"/>
  <c r="D29" i="16"/>
  <c r="M38" i="16"/>
  <c r="C7" i="6"/>
  <c r="F15" i="8"/>
  <c r="B75" i="8" s="1"/>
  <c r="J15" i="11"/>
  <c r="X7" i="11" s="1"/>
  <c r="M24" i="12"/>
  <c r="M80" i="12" s="1"/>
  <c r="O24" i="12"/>
  <c r="O80" i="12" s="1"/>
  <c r="K48" i="12"/>
  <c r="K82" i="12" s="1"/>
  <c r="O48" i="12"/>
  <c r="O82" i="12" s="1"/>
  <c r="F72" i="12"/>
  <c r="F84" i="12" s="1"/>
  <c r="E40" i="17"/>
  <c r="E104" i="17" s="1"/>
  <c r="L54" i="17"/>
  <c r="L105" i="17" s="1"/>
  <c r="D68" i="17"/>
  <c r="D106" i="17" s="1"/>
  <c r="N38" i="16"/>
  <c r="G47" i="16"/>
  <c r="P56" i="16"/>
  <c r="O56" i="16"/>
  <c r="P74" i="16"/>
  <c r="H6" i="19"/>
  <c r="I65" i="16"/>
  <c r="D74" i="16"/>
  <c r="E10" i="29"/>
  <c r="E15" i="29" s="1"/>
  <c r="E28" i="23"/>
  <c r="E33" i="23" s="1"/>
  <c r="F17" i="8"/>
  <c r="B77" i="8" s="1"/>
  <c r="C16" i="10"/>
  <c r="F11" i="10" s="1"/>
  <c r="B45" i="10" s="1"/>
  <c r="K15" i="11"/>
  <c r="Y10" i="11" s="1"/>
  <c r="L28" i="11"/>
  <c r="Z21" i="11" s="1"/>
  <c r="B36" i="12"/>
  <c r="B81" i="12" s="1"/>
  <c r="G48" i="12"/>
  <c r="G82" i="12" s="1"/>
  <c r="L15" i="11"/>
  <c r="Z8" i="11" s="1"/>
  <c r="I28" i="11"/>
  <c r="W27" i="11" s="1"/>
  <c r="F5" i="6"/>
  <c r="B30" i="6" s="1"/>
  <c r="F19" i="9"/>
  <c r="C33" i="9" s="1"/>
  <c r="H48" i="12"/>
  <c r="H82" i="12" s="1"/>
  <c r="I48" i="12"/>
  <c r="I82" i="12" s="1"/>
  <c r="J48" i="13"/>
  <c r="J94" i="13" s="1"/>
  <c r="C35" i="10"/>
  <c r="F30" i="10" s="1"/>
  <c r="C45" i="10" s="1"/>
  <c r="J25" i="23"/>
  <c r="E12" i="12"/>
  <c r="E79" i="12" s="1"/>
  <c r="D24" i="12"/>
  <c r="D80" i="12" s="1"/>
  <c r="O60" i="12"/>
  <c r="O83" i="12" s="1"/>
  <c r="E24" i="12"/>
  <c r="E80" i="12" s="1"/>
  <c r="G36" i="12"/>
  <c r="G81" i="12" s="1"/>
  <c r="C28" i="23"/>
  <c r="C33" i="23" s="1"/>
  <c r="I9" i="23"/>
  <c r="B28" i="11"/>
  <c r="P20" i="11" s="1"/>
  <c r="H12" i="12"/>
  <c r="H79" i="12" s="1"/>
  <c r="N48" i="12"/>
  <c r="N82" i="12" s="1"/>
  <c r="B60" i="12"/>
  <c r="C60" i="12"/>
  <c r="C83" i="12" s="1"/>
  <c r="I72" i="12"/>
  <c r="I84" i="12" s="1"/>
  <c r="F8" i="7"/>
  <c r="B37" i="7" s="1"/>
  <c r="D28" i="23"/>
  <c r="D33" i="23" s="1"/>
  <c r="B15" i="11"/>
  <c r="P9" i="11" s="1"/>
  <c r="I24" i="12"/>
  <c r="I80" i="12" s="1"/>
  <c r="J72" i="12"/>
  <c r="J84" i="12" s="1"/>
  <c r="K72" i="12"/>
  <c r="K84" i="12" s="1"/>
  <c r="F7" i="20"/>
  <c r="P6" i="20" s="1"/>
  <c r="E28" i="11"/>
  <c r="D36" i="12"/>
  <c r="D81" i="12" s="1"/>
  <c r="B28" i="23"/>
  <c r="B33" i="23" s="1"/>
  <c r="C15" i="5"/>
  <c r="C25" i="8"/>
  <c r="F6" i="9"/>
  <c r="B33" i="9" s="1"/>
  <c r="L12" i="12"/>
  <c r="L79" i="12" s="1"/>
  <c r="P48" i="12"/>
  <c r="P82" i="12" s="1"/>
  <c r="L72" i="12"/>
  <c r="L84" i="12" s="1"/>
  <c r="D12" i="13"/>
  <c r="D91" i="13" s="1"/>
  <c r="C19" i="6"/>
  <c r="F17" i="6" s="1"/>
  <c r="C30" i="6" s="1"/>
  <c r="D15" i="11"/>
  <c r="R7" i="11" s="1"/>
  <c r="M12" i="12"/>
  <c r="M79" i="12" s="1"/>
  <c r="L24" i="12"/>
  <c r="L80" i="12" s="1"/>
  <c r="N36" i="12"/>
  <c r="N81" i="12" s="1"/>
  <c r="M72" i="12"/>
  <c r="M84" i="12" s="1"/>
  <c r="I12" i="12"/>
  <c r="I79" i="12" s="1"/>
  <c r="E15" i="11"/>
  <c r="S9" i="11" s="1"/>
  <c r="E60" i="13"/>
  <c r="E95" i="13" s="1"/>
  <c r="I60" i="13"/>
  <c r="I95" i="13" s="1"/>
  <c r="C28" i="11"/>
  <c r="Q25" i="11" s="1"/>
  <c r="F8" i="5"/>
  <c r="B47" i="5" s="1"/>
  <c r="F7" i="8"/>
  <c r="B67" i="8" s="1"/>
  <c r="F8" i="9"/>
  <c r="B35" i="9" s="1"/>
  <c r="N24" i="12"/>
  <c r="N80" i="12" s="1"/>
  <c r="K24" i="12"/>
  <c r="K80" i="12" s="1"/>
  <c r="P36" i="12"/>
  <c r="P81" i="12" s="1"/>
  <c r="B50" i="15"/>
  <c r="B95" i="15" s="1"/>
  <c r="F40" i="25"/>
  <c r="D79" i="25"/>
  <c r="F96" i="17"/>
  <c r="F108" i="17" s="1"/>
  <c r="D14" i="26"/>
  <c r="C27" i="26"/>
  <c r="C97" i="26" s="1"/>
  <c r="B40" i="26"/>
  <c r="B98" i="26" s="1"/>
  <c r="B53" i="26"/>
  <c r="D99" i="26" s="1"/>
  <c r="J10" i="16"/>
  <c r="AC9" i="16" s="1"/>
  <c r="G38" i="16"/>
  <c r="G74" i="16"/>
  <c r="J73" i="13"/>
  <c r="J96" i="13" s="1"/>
  <c r="E87" i="13"/>
  <c r="E97" i="13" s="1"/>
  <c r="I87" i="13"/>
  <c r="I97" i="13" s="1"/>
  <c r="I25" i="15"/>
  <c r="I93" i="15" s="1"/>
  <c r="G66" i="25"/>
  <c r="F79" i="25"/>
  <c r="F26" i="17"/>
  <c r="F103" i="17" s="1"/>
  <c r="K40" i="17"/>
  <c r="K104" i="17" s="1"/>
  <c r="C54" i="17"/>
  <c r="C105" i="17" s="1"/>
  <c r="F14" i="26"/>
  <c r="E27" i="26"/>
  <c r="E97" i="26" s="1"/>
  <c r="D40" i="26"/>
  <c r="D98" i="26" s="1"/>
  <c r="D53" i="26"/>
  <c r="C66" i="26"/>
  <c r="C100" i="26" s="1"/>
  <c r="B79" i="26"/>
  <c r="E101" i="26" s="1"/>
  <c r="L10" i="16"/>
  <c r="AE9" i="16" s="1"/>
  <c r="Q47" i="16"/>
  <c r="I56" i="16"/>
  <c r="H56" i="16"/>
  <c r="B87" i="13"/>
  <c r="B97" i="13" s="1"/>
  <c r="G79" i="25"/>
  <c r="L68" i="17"/>
  <c r="L106" i="17" s="1"/>
  <c r="B82" i="17"/>
  <c r="B107" i="17" s="1"/>
  <c r="I96" i="17"/>
  <c r="I108" i="17" s="1"/>
  <c r="F27" i="26"/>
  <c r="F97" i="26" s="1"/>
  <c r="D66" i="26"/>
  <c r="D100" i="26" s="1"/>
  <c r="B47" i="16"/>
  <c r="R47" i="16"/>
  <c r="K36" i="13"/>
  <c r="K93" i="13" s="1"/>
  <c r="B13" i="17"/>
  <c r="H26" i="17"/>
  <c r="H103" i="17" s="1"/>
  <c r="J96" i="17"/>
  <c r="J108" i="17" s="1"/>
  <c r="G27" i="26"/>
  <c r="G97" i="26" s="1"/>
  <c r="E66" i="26"/>
  <c r="E100" i="26" s="1"/>
  <c r="K56" i="16"/>
  <c r="C65" i="16"/>
  <c r="I19" i="22"/>
  <c r="L36" i="13"/>
  <c r="L93" i="13" s="1"/>
  <c r="B48" i="13"/>
  <c r="B94" i="13" s="1"/>
  <c r="F48" i="13"/>
  <c r="F94" i="13" s="1"/>
  <c r="I26" i="17"/>
  <c r="I103" i="17" s="1"/>
  <c r="E82" i="17"/>
  <c r="E107" i="17" s="1"/>
  <c r="K96" i="17"/>
  <c r="K108" i="17" s="1"/>
  <c r="G40" i="26"/>
  <c r="G98" i="26" s="1"/>
  <c r="G53" i="26"/>
  <c r="F66" i="26"/>
  <c r="F100" i="26" s="1"/>
  <c r="E92" i="26"/>
  <c r="E102" i="26" s="1"/>
  <c r="L19" i="16"/>
  <c r="L56" i="16"/>
  <c r="D65" i="16"/>
  <c r="I28" i="19"/>
  <c r="B30" i="19"/>
  <c r="L28" i="19" s="1"/>
  <c r="B14" i="3"/>
  <c r="H36" i="12"/>
  <c r="H81" i="12" s="1"/>
  <c r="G24" i="13"/>
  <c r="G92" i="13" s="1"/>
  <c r="K24" i="13"/>
  <c r="K92" i="13" s="1"/>
  <c r="D13" i="17"/>
  <c r="G54" i="17"/>
  <c r="G105" i="17" s="1"/>
  <c r="F82" i="17"/>
  <c r="F107" i="17" s="1"/>
  <c r="L96" i="17"/>
  <c r="L108" i="17" s="1"/>
  <c r="G66" i="26"/>
  <c r="G100" i="26" s="1"/>
  <c r="F79" i="26"/>
  <c r="M19" i="16"/>
  <c r="M56" i="16"/>
  <c r="F8" i="21"/>
  <c r="F16" i="21" s="1"/>
  <c r="C12" i="13"/>
  <c r="C91" i="13" s="1"/>
  <c r="H54" i="17"/>
  <c r="H105" i="17" s="1"/>
  <c r="O19" i="16"/>
  <c r="G29" i="16"/>
  <c r="G65" i="16"/>
  <c r="E30" i="19"/>
  <c r="O29" i="19" s="1"/>
  <c r="I29" i="3"/>
  <c r="E73" i="13"/>
  <c r="E96" i="13" s="1"/>
  <c r="C40" i="17"/>
  <c r="C104" i="17" s="1"/>
  <c r="B68" i="17"/>
  <c r="B106" i="17" s="1"/>
  <c r="G68" i="17"/>
  <c r="G106" i="17" s="1"/>
  <c r="I82" i="17"/>
  <c r="I107" i="17" s="1"/>
  <c r="P19" i="16"/>
  <c r="H29" i="16"/>
  <c r="H65" i="16"/>
  <c r="H6" i="21"/>
  <c r="B8" i="21"/>
  <c r="B14" i="21" s="1"/>
  <c r="F30" i="19"/>
  <c r="P29" i="19" s="1"/>
  <c r="H13" i="17"/>
  <c r="Q19" i="16"/>
  <c r="I74" i="22"/>
  <c r="I27" i="3"/>
  <c r="B25" i="15"/>
  <c r="B93" i="15" s="1"/>
  <c r="I13" i="17"/>
  <c r="E10" i="16"/>
  <c r="X8" i="16" s="1"/>
  <c r="J29" i="16"/>
  <c r="B38" i="16"/>
  <c r="I32" i="21"/>
  <c r="C14" i="25"/>
  <c r="C27" i="25"/>
  <c r="B40" i="25"/>
  <c r="G97" i="25" s="1"/>
  <c r="F40" i="17"/>
  <c r="F104" i="17" s="1"/>
  <c r="L82" i="17"/>
  <c r="L107" i="17" s="1"/>
  <c r="B96" i="17"/>
  <c r="F10" i="16"/>
  <c r="Y9" i="16" s="1"/>
  <c r="K29" i="16"/>
  <c r="C38" i="16"/>
  <c r="R38" i="16"/>
  <c r="B74" i="16"/>
  <c r="C74" i="16"/>
  <c r="I30" i="21"/>
  <c r="K60" i="13"/>
  <c r="K95" i="13" s="1"/>
  <c r="D14" i="25"/>
  <c r="D27" i="25"/>
  <c r="C40" i="25"/>
  <c r="B53" i="25"/>
  <c r="G98" i="25" s="1"/>
  <c r="B66" i="25"/>
  <c r="D99" i="25" s="1"/>
  <c r="K13" i="17"/>
  <c r="F68" i="17"/>
  <c r="F106" i="17" s="1"/>
  <c r="E68" i="17"/>
  <c r="E106" i="17" s="1"/>
  <c r="C96" i="17"/>
  <c r="C108" i="17" s="1"/>
  <c r="G10" i="16"/>
  <c r="L29" i="16"/>
  <c r="H5" i="20"/>
  <c r="C30" i="19"/>
  <c r="M28" i="19" s="1"/>
  <c r="I12" i="3"/>
  <c r="C31" i="3"/>
  <c r="C34" i="3" s="1"/>
  <c r="E36" i="13"/>
  <c r="E93" i="13" s="1"/>
  <c r="C48" i="13"/>
  <c r="C94" i="13" s="1"/>
  <c r="J60" i="13"/>
  <c r="J95" i="13" s="1"/>
  <c r="E25" i="15"/>
  <c r="E93" i="15" s="1"/>
  <c r="B26" i="17"/>
  <c r="B103" i="17" s="1"/>
  <c r="E38" i="16"/>
  <c r="J12" i="13"/>
  <c r="J91" i="13" s="1"/>
  <c r="B36" i="13"/>
  <c r="B93" i="13" s="1"/>
  <c r="G73" i="13"/>
  <c r="G96" i="13" s="1"/>
  <c r="K73" i="13"/>
  <c r="K96" i="13" s="1"/>
  <c r="F25" i="15"/>
  <c r="F93" i="15" s="1"/>
  <c r="F27" i="25"/>
  <c r="E40" i="25"/>
  <c r="D66" i="25"/>
  <c r="C79" i="25"/>
  <c r="H68" i="17"/>
  <c r="H106" i="17" s="1"/>
  <c r="D82" i="17"/>
  <c r="D107" i="17" s="1"/>
  <c r="C14" i="26"/>
  <c r="B27" i="26"/>
  <c r="B97" i="26" s="1"/>
  <c r="I10" i="16"/>
  <c r="AB6" i="16" s="1"/>
  <c r="F38" i="16"/>
  <c r="N47" i="16"/>
  <c r="M47" i="16"/>
  <c r="B24" i="29"/>
  <c r="B29" i="29" s="1"/>
  <c r="B10" i="22"/>
  <c r="L6" i="22" s="1"/>
  <c r="I29" i="20"/>
  <c r="H5" i="19"/>
  <c r="D14" i="3"/>
  <c r="B24" i="28"/>
  <c r="B29" i="28" s="1"/>
  <c r="B10" i="29"/>
  <c r="B15" i="29" s="1"/>
  <c r="C24" i="29"/>
  <c r="C29" i="29" s="1"/>
  <c r="N10" i="16"/>
  <c r="AG8" i="16" s="1"/>
  <c r="I28" i="20"/>
  <c r="B10" i="28"/>
  <c r="B15" i="28" s="1"/>
  <c r="C24" i="28"/>
  <c r="C29" i="28" s="1"/>
  <c r="C10" i="29"/>
  <c r="C15" i="29" s="1"/>
  <c r="D24" i="29"/>
  <c r="D29" i="29" s="1"/>
  <c r="D10" i="22"/>
  <c r="N7" i="22" s="1"/>
  <c r="C10" i="28"/>
  <c r="C15" i="28" s="1"/>
  <c r="D24" i="28"/>
  <c r="D29" i="28" s="1"/>
  <c r="D10" i="29"/>
  <c r="D15" i="29" s="1"/>
  <c r="E24" i="29"/>
  <c r="E29" i="29" s="1"/>
  <c r="E10" i="22"/>
  <c r="O8" i="22" s="1"/>
  <c r="B31" i="3"/>
  <c r="B34" i="3" s="1"/>
  <c r="B24" i="27"/>
  <c r="B29" i="27" s="1"/>
  <c r="E24" i="28"/>
  <c r="E29" i="28" s="1"/>
  <c r="F24" i="29"/>
  <c r="F29" i="29" s="1"/>
  <c r="C24" i="27"/>
  <c r="C29" i="27" s="1"/>
  <c r="F24" i="28"/>
  <c r="F29" i="28" s="1"/>
  <c r="G24" i="29"/>
  <c r="G29" i="29" s="1"/>
  <c r="G10" i="22"/>
  <c r="Q6" i="22" s="1"/>
  <c r="B34" i="21"/>
  <c r="B41" i="21" s="1"/>
  <c r="D31" i="3"/>
  <c r="D34" i="3" s="1"/>
  <c r="C10" i="27"/>
  <c r="C15" i="27" s="1"/>
  <c r="D24" i="27"/>
  <c r="D29" i="27" s="1"/>
  <c r="F10" i="28"/>
  <c r="F15" i="28" s="1"/>
  <c r="G24" i="28"/>
  <c r="G29" i="28" s="1"/>
  <c r="G10" i="29"/>
  <c r="G15" i="29" s="1"/>
  <c r="H24" i="29"/>
  <c r="H29" i="29" s="1"/>
  <c r="I22" i="29"/>
  <c r="H8" i="29"/>
  <c r="H8" i="28"/>
  <c r="G40" i="17"/>
  <c r="G104" i="17" s="1"/>
  <c r="I29" i="19"/>
  <c r="I25" i="3"/>
  <c r="I22" i="27"/>
  <c r="H8" i="27"/>
  <c r="B17" i="23" l="1"/>
  <c r="I17" i="23" s="1"/>
  <c r="B38" i="23" s="1"/>
  <c r="I12" i="23"/>
  <c r="I31" i="3"/>
  <c r="I14" i="3"/>
  <c r="F6" i="4"/>
  <c r="E42" i="21"/>
  <c r="W9" i="11"/>
  <c r="I18" i="3"/>
  <c r="S7" i="22"/>
  <c r="S9" i="22"/>
  <c r="P9" i="22"/>
  <c r="P7" i="22"/>
  <c r="R9" i="22"/>
  <c r="AF9" i="16"/>
  <c r="P8" i="22"/>
  <c r="N29" i="19"/>
  <c r="N30" i="19" s="1"/>
  <c r="X25" i="11"/>
  <c r="D21" i="3"/>
  <c r="AD9" i="16"/>
  <c r="AD7" i="16"/>
  <c r="G16" i="21"/>
  <c r="AD6" i="16"/>
  <c r="G14" i="21"/>
  <c r="M6" i="20"/>
  <c r="M7" i="20" s="1"/>
  <c r="AJ8" i="16"/>
  <c r="AI9" i="16"/>
  <c r="O5" i="20"/>
  <c r="O7" i="20" s="1"/>
  <c r="W8" i="16"/>
  <c r="AJ6" i="16"/>
  <c r="AA27" i="11"/>
  <c r="B100" i="25"/>
  <c r="W8" i="11"/>
  <c r="U7" i="16"/>
  <c r="W7" i="11"/>
  <c r="W12" i="11"/>
  <c r="U8" i="16"/>
  <c r="U6" i="16"/>
  <c r="W10" i="11"/>
  <c r="W11" i="11"/>
  <c r="W13" i="11"/>
  <c r="X27" i="11"/>
  <c r="AK8" i="16"/>
  <c r="AK7" i="16"/>
  <c r="AI8" i="16"/>
  <c r="F20" i="4"/>
  <c r="R26" i="11"/>
  <c r="E40" i="21"/>
  <c r="X24" i="11"/>
  <c r="C15" i="21"/>
  <c r="C17" i="21" s="1"/>
  <c r="AF8" i="16"/>
  <c r="AK6" i="16"/>
  <c r="AF6" i="16"/>
  <c r="F19" i="4"/>
  <c r="AA21" i="11"/>
  <c r="T10" i="11"/>
  <c r="D15" i="21"/>
  <c r="D17" i="21" s="1"/>
  <c r="M7" i="22"/>
  <c r="T23" i="11"/>
  <c r="T21" i="11"/>
  <c r="X22" i="11"/>
  <c r="T22" i="11"/>
  <c r="M9" i="22"/>
  <c r="Q29" i="19"/>
  <c r="X23" i="11"/>
  <c r="S8" i="22"/>
  <c r="AA22" i="11"/>
  <c r="U23" i="11"/>
  <c r="T25" i="11"/>
  <c r="Y25" i="11"/>
  <c r="AA23" i="11"/>
  <c r="R29" i="20"/>
  <c r="R30" i="20" s="1"/>
  <c r="I34" i="21"/>
  <c r="F43" i="21"/>
  <c r="F41" i="21"/>
  <c r="Y23" i="11"/>
  <c r="F101" i="26"/>
  <c r="C40" i="21"/>
  <c r="P28" i="19"/>
  <c r="P30" i="19" s="1"/>
  <c r="M6" i="22"/>
  <c r="T20" i="11"/>
  <c r="U22" i="11"/>
  <c r="R29" i="19"/>
  <c r="R30" i="19" s="1"/>
  <c r="D42" i="21"/>
  <c r="F100" i="25"/>
  <c r="AA26" i="11"/>
  <c r="R27" i="11"/>
  <c r="F40" i="21"/>
  <c r="H42" i="21"/>
  <c r="D41" i="21"/>
  <c r="R20" i="11"/>
  <c r="R23" i="11"/>
  <c r="I24" i="28"/>
  <c r="U21" i="11"/>
  <c r="E43" i="21"/>
  <c r="G101" i="26"/>
  <c r="R25" i="11"/>
  <c r="J28" i="23"/>
  <c r="AC6" i="16"/>
  <c r="H15" i="28"/>
  <c r="B34" i="28" s="1"/>
  <c r="C16" i="21"/>
  <c r="Q12" i="11"/>
  <c r="B96" i="25"/>
  <c r="E15" i="21"/>
  <c r="E17" i="21" s="1"/>
  <c r="D96" i="25"/>
  <c r="Q8" i="11"/>
  <c r="Q7" i="11"/>
  <c r="Q13" i="11"/>
  <c r="G96" i="25"/>
  <c r="Q10" i="11"/>
  <c r="O5" i="19"/>
  <c r="O7" i="19" s="1"/>
  <c r="L5" i="19"/>
  <c r="L7" i="19" s="1"/>
  <c r="W6" i="16"/>
  <c r="U7" i="11"/>
  <c r="AA8" i="11"/>
  <c r="E16" i="21"/>
  <c r="U12" i="11"/>
  <c r="V12" i="11"/>
  <c r="Q11" i="11"/>
  <c r="Q9" i="11"/>
  <c r="X13" i="11"/>
  <c r="X14" i="11"/>
  <c r="X9" i="11"/>
  <c r="X12" i="11"/>
  <c r="X10" i="11"/>
  <c r="X8" i="11"/>
  <c r="M6" i="19"/>
  <c r="M7" i="19" s="1"/>
  <c r="D16" i="21"/>
  <c r="F8" i="4"/>
  <c r="R6" i="22"/>
  <c r="R7" i="22"/>
  <c r="Y21" i="11"/>
  <c r="L29" i="20"/>
  <c r="L30" i="20" s="1"/>
  <c r="E96" i="25"/>
  <c r="U9" i="11"/>
  <c r="U8" i="11"/>
  <c r="AA14" i="11"/>
  <c r="AA12" i="11"/>
  <c r="AA9" i="11"/>
  <c r="AA10" i="11"/>
  <c r="U13" i="11"/>
  <c r="AA11" i="11"/>
  <c r="G21" i="3"/>
  <c r="AA13" i="11"/>
  <c r="F14" i="21"/>
  <c r="AJ7" i="16"/>
  <c r="W9" i="16"/>
  <c r="X21" i="11"/>
  <c r="AA24" i="11"/>
  <c r="T26" i="11"/>
  <c r="X20" i="11"/>
  <c r="V26" i="11"/>
  <c r="G40" i="21"/>
  <c r="V25" i="11"/>
  <c r="V21" i="11"/>
  <c r="G99" i="26"/>
  <c r="Y20" i="11"/>
  <c r="V23" i="11"/>
  <c r="R22" i="11"/>
  <c r="V20" i="11"/>
  <c r="F20" i="7"/>
  <c r="C35" i="7" s="1"/>
  <c r="V22" i="11"/>
  <c r="B97" i="25"/>
  <c r="L29" i="19"/>
  <c r="L30" i="19" s="1"/>
  <c r="H41" i="21"/>
  <c r="F96" i="25"/>
  <c r="R21" i="11"/>
  <c r="D40" i="21"/>
  <c r="F99" i="26"/>
  <c r="AA20" i="11"/>
  <c r="H43" i="21"/>
  <c r="V27" i="11"/>
  <c r="B74" i="12"/>
  <c r="T12" i="11"/>
  <c r="H10" i="27"/>
  <c r="V9" i="16"/>
  <c r="T11" i="11"/>
  <c r="V8" i="11"/>
  <c r="H8" i="21"/>
  <c r="H17" i="21" s="1"/>
  <c r="AA7" i="16"/>
  <c r="V6" i="16"/>
  <c r="V7" i="16"/>
  <c r="AA9" i="16"/>
  <c r="T8" i="11"/>
  <c r="AH9" i="16"/>
  <c r="AH8" i="16"/>
  <c r="C100" i="25"/>
  <c r="Q9" i="22"/>
  <c r="W25" i="11"/>
  <c r="E97" i="25"/>
  <c r="M29" i="20"/>
  <c r="M30" i="20" s="1"/>
  <c r="F21" i="7"/>
  <c r="C36" i="7" s="1"/>
  <c r="Q27" i="11"/>
  <c r="P25" i="11"/>
  <c r="F29" i="10"/>
  <c r="C44" i="10" s="1"/>
  <c r="W23" i="11"/>
  <c r="D101" i="26"/>
  <c r="C42" i="21"/>
  <c r="C101" i="26"/>
  <c r="Y22" i="11"/>
  <c r="Y24" i="11"/>
  <c r="F18" i="6"/>
  <c r="C31" i="6" s="1"/>
  <c r="E99" i="26"/>
  <c r="Y26" i="11"/>
  <c r="B99" i="25"/>
  <c r="Q29" i="20"/>
  <c r="Q30" i="20" s="1"/>
  <c r="P28" i="20"/>
  <c r="P30" i="20" s="1"/>
  <c r="U20" i="11"/>
  <c r="B98" i="25"/>
  <c r="B40" i="21"/>
  <c r="N28" i="20"/>
  <c r="N30" i="20" s="1"/>
  <c r="D100" i="25"/>
  <c r="O29" i="20"/>
  <c r="O30" i="20" s="1"/>
  <c r="U25" i="11"/>
  <c r="U27" i="11"/>
  <c r="U24" i="11"/>
  <c r="G42" i="21"/>
  <c r="K36" i="19"/>
  <c r="K38" i="19" s="1"/>
  <c r="O6" i="22"/>
  <c r="G100" i="25"/>
  <c r="F99" i="25"/>
  <c r="E98" i="25"/>
  <c r="F31" i="10"/>
  <c r="C46" i="10" s="1"/>
  <c r="F22" i="7"/>
  <c r="C37" i="7" s="1"/>
  <c r="I30" i="19"/>
  <c r="B101" i="26"/>
  <c r="Q20" i="11"/>
  <c r="Q28" i="19"/>
  <c r="F32" i="10"/>
  <c r="C47" i="10" s="1"/>
  <c r="P22" i="11"/>
  <c r="G43" i="21"/>
  <c r="C43" i="21"/>
  <c r="T24" i="11"/>
  <c r="B83" i="12"/>
  <c r="N6" i="19"/>
  <c r="N7" i="19" s="1"/>
  <c r="Z13" i="11"/>
  <c r="N6" i="20"/>
  <c r="N7" i="20" s="1"/>
  <c r="C21" i="3"/>
  <c r="T14" i="11"/>
  <c r="U11" i="11"/>
  <c r="AA8" i="16"/>
  <c r="V9" i="11"/>
  <c r="T7" i="11"/>
  <c r="U10" i="11"/>
  <c r="AI6" i="16"/>
  <c r="H15" i="27"/>
  <c r="T13" i="11"/>
  <c r="AC8" i="16"/>
  <c r="B15" i="21"/>
  <c r="AC7" i="16"/>
  <c r="AE8" i="16"/>
  <c r="V10" i="11"/>
  <c r="V13" i="11"/>
  <c r="X11" i="11"/>
  <c r="B16" i="21"/>
  <c r="AE7" i="16"/>
  <c r="V7" i="11"/>
  <c r="R14" i="11"/>
  <c r="V14" i="11"/>
  <c r="B88" i="15"/>
  <c r="R9" i="11"/>
  <c r="AH7" i="16"/>
  <c r="J33" i="23"/>
  <c r="B39" i="23" s="1"/>
  <c r="J34" i="3"/>
  <c r="B40" i="3" s="1"/>
  <c r="Y6" i="16"/>
  <c r="Y7" i="16"/>
  <c r="Q7" i="22"/>
  <c r="F97" i="25"/>
  <c r="B43" i="21"/>
  <c r="C99" i="25"/>
  <c r="D98" i="25"/>
  <c r="Y7" i="11"/>
  <c r="Y12" i="11"/>
  <c r="Y9" i="11"/>
  <c r="Y14" i="11"/>
  <c r="S7" i="11"/>
  <c r="D97" i="25"/>
  <c r="B21" i="3"/>
  <c r="Q8" i="22"/>
  <c r="F15" i="10"/>
  <c r="B49" i="10" s="1"/>
  <c r="F9" i="10"/>
  <c r="B43" i="10" s="1"/>
  <c r="F7" i="10"/>
  <c r="B41" i="10" s="1"/>
  <c r="F13" i="10"/>
  <c r="B46" i="10" s="1"/>
  <c r="Y11" i="11"/>
  <c r="Z25" i="11"/>
  <c r="Z22" i="11"/>
  <c r="Z20" i="11"/>
  <c r="Z27" i="11"/>
  <c r="Z24" i="11"/>
  <c r="I24" i="29"/>
  <c r="I29" i="29" s="1"/>
  <c r="H10" i="29"/>
  <c r="M29" i="19"/>
  <c r="M30" i="19" s="1"/>
  <c r="B98" i="17"/>
  <c r="B108" i="17"/>
  <c r="AG7" i="16"/>
  <c r="L9" i="22"/>
  <c r="P11" i="11"/>
  <c r="P13" i="11"/>
  <c r="P8" i="11"/>
  <c r="P10" i="11"/>
  <c r="P27" i="11"/>
  <c r="H15" i="29"/>
  <c r="C97" i="25"/>
  <c r="L7" i="22"/>
  <c r="S27" i="11"/>
  <c r="S25" i="11"/>
  <c r="S23" i="11"/>
  <c r="S21" i="11"/>
  <c r="S26" i="11"/>
  <c r="R11" i="11"/>
  <c r="F12" i="10"/>
  <c r="B42" i="21"/>
  <c r="Z9" i="16"/>
  <c r="Z6" i="16"/>
  <c r="Z8" i="16"/>
  <c r="H7" i="20"/>
  <c r="Q6" i="20" s="1"/>
  <c r="S11" i="11"/>
  <c r="S13" i="11"/>
  <c r="O9" i="22"/>
  <c r="C98" i="25"/>
  <c r="Y8" i="16"/>
  <c r="S8" i="11"/>
  <c r="S12" i="11"/>
  <c r="S24" i="11"/>
  <c r="S22" i="11"/>
  <c r="F10" i="10"/>
  <c r="B44" i="10" s="1"/>
  <c r="H10" i="28"/>
  <c r="L8" i="22"/>
  <c r="O7" i="22"/>
  <c r="AG6" i="16"/>
  <c r="F14" i="10"/>
  <c r="B48" i="10" s="1"/>
  <c r="P5" i="20"/>
  <c r="P7" i="20" s="1"/>
  <c r="F26" i="10"/>
  <c r="C41" i="10" s="1"/>
  <c r="F33" i="10"/>
  <c r="C48" i="10" s="1"/>
  <c r="S20" i="11"/>
  <c r="F28" i="10"/>
  <c r="C43" i="10" s="1"/>
  <c r="P12" i="11"/>
  <c r="I30" i="20"/>
  <c r="L37" i="20" s="1"/>
  <c r="P21" i="11"/>
  <c r="P24" i="11"/>
  <c r="P26" i="11"/>
  <c r="P23" i="11"/>
  <c r="F15" i="21"/>
  <c r="G99" i="25"/>
  <c r="AE6" i="16"/>
  <c r="P14" i="11"/>
  <c r="Y13" i="11"/>
  <c r="I29" i="28"/>
  <c r="B35" i="28" s="1"/>
  <c r="Z7" i="16"/>
  <c r="N8" i="22"/>
  <c r="F98" i="25"/>
  <c r="N9" i="22"/>
  <c r="P87" i="13"/>
  <c r="R8" i="11"/>
  <c r="R13" i="11"/>
  <c r="R10" i="11"/>
  <c r="R12" i="11"/>
  <c r="S14" i="11"/>
  <c r="W26" i="11"/>
  <c r="W20" i="11"/>
  <c r="W22" i="11"/>
  <c r="W24" i="11"/>
  <c r="Z26" i="11"/>
  <c r="N6" i="22"/>
  <c r="E21" i="3"/>
  <c r="S10" i="11"/>
  <c r="W21" i="11"/>
  <c r="Y8" i="11"/>
  <c r="P7" i="11"/>
  <c r="H7" i="19"/>
  <c r="P6" i="19" s="1"/>
  <c r="X7" i="16"/>
  <c r="X6" i="16"/>
  <c r="X9" i="16"/>
  <c r="O28" i="19"/>
  <c r="O30" i="19" s="1"/>
  <c r="C99" i="26"/>
  <c r="B99" i="26"/>
  <c r="Z10" i="11"/>
  <c r="Z12" i="11"/>
  <c r="Z7" i="11"/>
  <c r="Z14" i="11"/>
  <c r="Z9" i="11"/>
  <c r="Z11" i="11"/>
  <c r="F8" i="10"/>
  <c r="B42" i="10" s="1"/>
  <c r="F27" i="10"/>
  <c r="C42" i="10" s="1"/>
  <c r="I24" i="27"/>
  <c r="I29" i="27" s="1"/>
  <c r="AB9" i="16"/>
  <c r="AB8" i="16"/>
  <c r="AB7" i="16"/>
  <c r="AG9" i="16"/>
  <c r="E99" i="25"/>
  <c r="Q24" i="11"/>
  <c r="Q26" i="11"/>
  <c r="Q21" i="11"/>
  <c r="Q23" i="11"/>
  <c r="Q22" i="11"/>
  <c r="Z23" i="11"/>
  <c r="F34" i="10"/>
  <c r="C49" i="10" s="1"/>
  <c r="I21" i="3" l="1"/>
  <c r="U10" i="16"/>
  <c r="AD10" i="16"/>
  <c r="AJ10" i="16"/>
  <c r="AK10" i="16"/>
  <c r="AI10" i="16"/>
  <c r="W10" i="16"/>
  <c r="AF10" i="16"/>
  <c r="E44" i="21"/>
  <c r="B17" i="21"/>
  <c r="AA10" i="16"/>
  <c r="AC10" i="16"/>
  <c r="Q30" i="19"/>
  <c r="F44" i="21"/>
  <c r="H44" i="21"/>
  <c r="C44" i="21"/>
  <c r="D44" i="21"/>
  <c r="V10" i="16"/>
  <c r="AB10" i="16"/>
  <c r="F17" i="21"/>
  <c r="X10" i="16"/>
  <c r="AH10" i="16"/>
  <c r="G44" i="21"/>
  <c r="L36" i="20"/>
  <c r="L38" i="20" s="1"/>
  <c r="B44" i="21"/>
  <c r="AG10" i="16"/>
  <c r="Z10" i="16"/>
  <c r="AE10" i="16"/>
  <c r="P5" i="19"/>
  <c r="P7" i="19" s="1"/>
  <c r="Q5" i="20"/>
  <c r="Y10" i="16"/>
  <c r="G17" i="21" l="1"/>
  <c r="K14" i="19"/>
  <c r="K15" i="19"/>
  <c r="Q7" i="20"/>
  <c r="L15" i="20" s="1"/>
  <c r="L14" i="20" l="1"/>
  <c r="L16" i="20" s="1"/>
  <c r="K16" i="19"/>
  <c r="B39" i="3"/>
  <c r="B41" i="3" s="1"/>
</calcChain>
</file>

<file path=xl/sharedStrings.xml><?xml version="1.0" encoding="utf-8"?>
<sst xmlns="http://schemas.openxmlformats.org/spreadsheetml/2006/main" count="22168" uniqueCount="617">
  <si>
    <t>7. SI USTED PUDIERA ELEGIR DÓNDE SER ATENDIDO, ¿RECOMENDARÍA A SUS FAMILIARES O AMIGOS ESTA IPS?</t>
  </si>
  <si>
    <t>AMBULATORIO</t>
  </si>
  <si>
    <t>Laboratorio y Patología</t>
  </si>
  <si>
    <t>Rayos X - TAC</t>
  </si>
  <si>
    <t>Servicios Complementarios</t>
  </si>
  <si>
    <t>Citas - Facturación</t>
  </si>
  <si>
    <t>Rehabilitación</t>
  </si>
  <si>
    <t>Urgencias</t>
  </si>
  <si>
    <t>TOTAL</t>
  </si>
  <si>
    <t>7.1 Definitivamente SI</t>
  </si>
  <si>
    <t>7.2 Probablemente SI</t>
  </si>
  <si>
    <t>7.3 Definitivamente NO</t>
  </si>
  <si>
    <t>Probablemente NO</t>
  </si>
  <si>
    <t>TOTAL ENCUENSTAS</t>
  </si>
  <si>
    <t>RECOMENDARIA</t>
  </si>
  <si>
    <t>HOSPITALIZACIÓN</t>
  </si>
  <si>
    <t>Hospitalización General</t>
  </si>
  <si>
    <t>Hospitalización Ginecología</t>
  </si>
  <si>
    <t>Hospitalización Medicina interna</t>
  </si>
  <si>
    <t>Hospitalización Pediatria</t>
  </si>
  <si>
    <t>Hospitalización Quirurgicas</t>
  </si>
  <si>
    <t>Unidades de Cuidados Intensivos</t>
  </si>
  <si>
    <t>Cirugía</t>
  </si>
  <si>
    <t>Definitivamente SI</t>
  </si>
  <si>
    <t>Probablemente SI</t>
  </si>
  <si>
    <t>Definitivamente NO</t>
  </si>
  <si>
    <t>PORCENTAJE DE SATISFACCIÓN</t>
  </si>
  <si>
    <t>UNIVERSO</t>
  </si>
  <si>
    <t>EDAD</t>
  </si>
  <si>
    <t>RANGO</t>
  </si>
  <si>
    <t>CANT.</t>
  </si>
  <si>
    <t>PORC.</t>
  </si>
  <si>
    <t>18-20</t>
  </si>
  <si>
    <t>21-25</t>
  </si>
  <si>
    <t>26-30</t>
  </si>
  <si>
    <t>31-35</t>
  </si>
  <si>
    <t>36-40</t>
  </si>
  <si>
    <t>41-45</t>
  </si>
  <si>
    <t>46-50</t>
  </si>
  <si>
    <t>51-55</t>
  </si>
  <si>
    <t>56+</t>
  </si>
  <si>
    <t>COMPRARATIVO</t>
  </si>
  <si>
    <t>C. EXT.</t>
  </si>
  <si>
    <t>HOSP.</t>
  </si>
  <si>
    <t>SEXO</t>
  </si>
  <si>
    <t>Femenino</t>
  </si>
  <si>
    <t>Masculino</t>
  </si>
  <si>
    <t>REGIMEN</t>
  </si>
  <si>
    <t>CONTRIBUTIVO</t>
  </si>
  <si>
    <t>ESPECIAL</t>
  </si>
  <si>
    <t>OTRO</t>
  </si>
  <si>
    <t>SUBSIDIADO</t>
  </si>
  <si>
    <t>EPS</t>
  </si>
  <si>
    <t>Asmetsalud</t>
  </si>
  <si>
    <t xml:space="preserve">Compensar
</t>
  </si>
  <si>
    <t>Coomeva EPS</t>
  </si>
  <si>
    <t>Coopsalud</t>
  </si>
  <si>
    <t>Emssanar EPS</t>
  </si>
  <si>
    <t>EPS Convida</t>
  </si>
  <si>
    <t>Famisanar</t>
  </si>
  <si>
    <t>Fuerzas Militares</t>
  </si>
  <si>
    <t>Nueva EPS</t>
  </si>
  <si>
    <t>S.O.S.</t>
  </si>
  <si>
    <t>Sanitas EPS</t>
  </si>
  <si>
    <t>Soat</t>
  </si>
  <si>
    <t>Sura EPS</t>
  </si>
  <si>
    <t>Salud Total S.A. EPS</t>
  </si>
  <si>
    <t>Salud Vida SA EPS</t>
  </si>
  <si>
    <t>Vinculados</t>
  </si>
  <si>
    <t>Selvasalud SA EPS</t>
  </si>
  <si>
    <t>Asoc. Indígenas del Cauca</t>
  </si>
  <si>
    <t>Asmet salud</t>
  </si>
  <si>
    <t>RESIDENCIA</t>
  </si>
  <si>
    <t>Tuluá</t>
  </si>
  <si>
    <t>Otros Municipios</t>
  </si>
  <si>
    <t>Zona Rural Tuluá</t>
  </si>
  <si>
    <t xml:space="preserve">Otros Municipio
</t>
  </si>
  <si>
    <t>Zona Rural  de Tuluá</t>
  </si>
  <si>
    <t xml:space="preserve">Otros Municipios
</t>
  </si>
  <si>
    <t>1. ¿Tiene usted alguna de las siguientes condiciones especiales?</t>
  </si>
  <si>
    <t>CONDICIÓN</t>
  </si>
  <si>
    <t>Adulto Mayor</t>
  </si>
  <si>
    <t>Adulto Mayo</t>
  </si>
  <si>
    <t xml:space="preserve">Persona con Discapacidad
</t>
  </si>
  <si>
    <t xml:space="preserve">Discapacidad
</t>
  </si>
  <si>
    <t>Indigena</t>
  </si>
  <si>
    <t>LGTBIQ+</t>
  </si>
  <si>
    <t>Embarazada</t>
  </si>
  <si>
    <t>Menor de un año</t>
  </si>
  <si>
    <t>Victima del Conflicto Armado</t>
  </si>
  <si>
    <t>Victima de Conflicto Armado</t>
  </si>
  <si>
    <t>No</t>
  </si>
  <si>
    <t>Otra</t>
  </si>
  <si>
    <t>2. La Condición fue tenida en cuenta durante la atención?</t>
  </si>
  <si>
    <t>La condición fue tenida en cuenta</t>
  </si>
  <si>
    <t xml:space="preserve">SI </t>
  </si>
  <si>
    <t xml:space="preserve">NO </t>
  </si>
  <si>
    <t>NO APLICA</t>
  </si>
  <si>
    <t>3. Califique el respeto recibido por parte de:</t>
  </si>
  <si>
    <t>Auxiliar de Admisiones y Citas Médicas</t>
  </si>
  <si>
    <t>Auxiliar de Enfermería</t>
  </si>
  <si>
    <t>Auxiliar de Información</t>
  </si>
  <si>
    <t>Auxiliar que entregó los resultados</t>
  </si>
  <si>
    <t>Auxiliar que realizó el procedimiento</t>
  </si>
  <si>
    <t>Enfermero(a) Médico de Triage</t>
  </si>
  <si>
    <t>Facturador(a)</t>
  </si>
  <si>
    <t>Médico Especialista</t>
  </si>
  <si>
    <t>Médico General</t>
  </si>
  <si>
    <t>[Operario de Aseo</t>
  </si>
  <si>
    <t>Seguridad Física</t>
  </si>
  <si>
    <t>Movilidad</t>
  </si>
  <si>
    <t>8 - NO SABE</t>
  </si>
  <si>
    <t>7 - NO UTILIZA</t>
  </si>
  <si>
    <t>6 - NO APLICA</t>
  </si>
  <si>
    <t>5 - MUY BUENO</t>
  </si>
  <si>
    <t>4 - BUENO</t>
  </si>
  <si>
    <t>3 - REGULAR</t>
  </si>
  <si>
    <t>2 - MALO</t>
  </si>
  <si>
    <t>1 - MUY MALO</t>
  </si>
  <si>
    <t>AUXILIAR DE ENFERMERIA</t>
  </si>
  <si>
    <t>ENFERMERO</t>
  </si>
  <si>
    <t>FACTURADOR (a)</t>
  </si>
  <si>
    <t>MÉDICO ESPECIALISTA</t>
  </si>
  <si>
    <t>MÉDICO GENERAL</t>
  </si>
  <si>
    <t>OPERARIO DE ASEO</t>
  </si>
  <si>
    <t>PERSONAL DE ALIMENTACIÓN</t>
  </si>
  <si>
    <t>SEGURIDAD FÍSICA</t>
  </si>
  <si>
    <t>MOVILIDAD</t>
  </si>
  <si>
    <t>PESONAL DE APOYO</t>
  </si>
  <si>
    <t>REHABILITACIÓN</t>
  </si>
  <si>
    <t>ESTUDIANTES</t>
  </si>
  <si>
    <t>CITAS - FACTURACIÓN</t>
  </si>
  <si>
    <t>Personal de Apoyo</t>
  </si>
  <si>
    <t>Técnico en imagenología</t>
  </si>
  <si>
    <t>Terapeuta</t>
  </si>
  <si>
    <t>LABORATORIO Y PATOLOGIA</t>
  </si>
  <si>
    <t>SERVICIOS COMPLEMENTARIOS</t>
  </si>
  <si>
    <t>URGENCIAS</t>
  </si>
  <si>
    <t>RESPETO SERVICIOS AMBUILATORIOS</t>
  </si>
  <si>
    <t>LABORATORIO Y PATOLOGÍA</t>
  </si>
  <si>
    <t>RAYOS X - TAC</t>
  </si>
  <si>
    <t>HOSPITALIZACIÓN GENERAL</t>
  </si>
  <si>
    <t>HOSPITALIZACIÓN GINECOLOGIA</t>
  </si>
  <si>
    <t>HOSPITALIZACIÓN MEDICINA INTERNA</t>
  </si>
  <si>
    <t>HOSPITALIZACIÓN PEDIATRIA</t>
  </si>
  <si>
    <t>HOSPITALIZACIÓN QUIRÚRGICAS</t>
  </si>
  <si>
    <t>UNIDADES DE CUIDADOS INTENSIVOS</t>
  </si>
  <si>
    <t>CIRUGÍA</t>
  </si>
  <si>
    <t>COMPARATIVO RESPETO POR SERVICIOS</t>
  </si>
  <si>
    <t>Hospitalización Medicina Interna</t>
  </si>
  <si>
    <t>5. Como Califica la Información Suministrada</t>
  </si>
  <si>
    <t>CONFORT - SERVICIOS AMBULATORIOS</t>
  </si>
  <si>
    <t>Aseo en Baños y Salas de espera</t>
  </si>
  <si>
    <t>Aseo y Comodidad en Consultorios</t>
  </si>
  <si>
    <t>Comodidad en Baños y Salas de Espera</t>
  </si>
  <si>
    <t>Comodidad Para Facturar</t>
  </si>
  <si>
    <t>Disposición del Personal para Atenderle</t>
  </si>
  <si>
    <t>Manejo de su Privacidad</t>
  </si>
  <si>
    <t>Oportunidad en la asignación de citas</t>
  </si>
  <si>
    <t>Señalización de los Servicios</t>
  </si>
  <si>
    <t>4. CONFORT</t>
  </si>
  <si>
    <t>Aseo en los baños de las habitaciones</t>
  </si>
  <si>
    <t>Comodidad en las habitaciones</t>
  </si>
  <si>
    <t>Aseo y comodidad en las salas de espera</t>
  </si>
  <si>
    <t>Manejo de su privacidad</t>
  </si>
  <si>
    <t>Señalización de los servicios</t>
  </si>
  <si>
    <t>Alimentación Suministrada</t>
  </si>
  <si>
    <t>COMPARATIVO CONFORT POR SERVICIOS HOSPITALIZACIÓN</t>
  </si>
  <si>
    <t>Unidades de cuidados intensivos</t>
  </si>
  <si>
    <t>SERVICIOS AMBULATORIOS</t>
  </si>
  <si>
    <t>Apertura de Agendas Médicas para Solicitar su Cita</t>
  </si>
  <si>
    <t>Sobre a Donde Dirigirse para su atención</t>
  </si>
  <si>
    <t>Condiciones de preparación previa</t>
  </si>
  <si>
    <t>Temas Institucionales (Derechos y Deberes, Rutas de Evacuación, Disposición de Residuos y canales de PQRSFD)</t>
  </si>
  <si>
    <t>Opción de Profesionales para la elección del mádico de su preferencia</t>
  </si>
  <si>
    <t>Por la auxiliar de información al usuario</t>
  </si>
  <si>
    <t>Remisión a otras entidades de salud</t>
  </si>
  <si>
    <t>Requisitos para la asignación de citas médicas y ayudas diagnostícas</t>
  </si>
  <si>
    <t>Signos de alarma y cuidados a seguir</t>
  </si>
  <si>
    <t>Su estado de salud (Diagnóstico y tratamiento)</t>
  </si>
  <si>
    <t>Trámites para la atención</t>
  </si>
  <si>
    <t>RAYOS X Y TAC</t>
  </si>
  <si>
    <t>COMPARATIVO COMUNICACIÓN SERVICIOS AMBULATORIOS</t>
  </si>
  <si>
    <t>6. EL TIEMPO PROMEDIO PARA LA ATENCIÓN EN LOS DIFERENTES SERVICIOS FUE</t>
  </si>
  <si>
    <t>TIEMPO EN AMBULATORIO</t>
  </si>
  <si>
    <t>Aplicación de medicamentos</t>
  </si>
  <si>
    <t>Apoyo Diagnóstico</t>
  </si>
  <si>
    <t>Asignanción de la cita</t>
  </si>
  <si>
    <t>[Atención en información al usuario</t>
  </si>
  <si>
    <t>Atención para la realización del anexo</t>
  </si>
  <si>
    <t>Auxiliar de Consultorio</t>
  </si>
  <si>
    <t>Auxiliar de enfermería sala de observación</t>
  </si>
  <si>
    <t>Cumplimiento de la orden de salida</t>
  </si>
  <si>
    <t>Entrega de resultados</t>
  </si>
  <si>
    <t>Interconsulta por otra especialidad</t>
  </si>
  <si>
    <t>Médico especialista</t>
  </si>
  <si>
    <t>Médico general</t>
  </si>
  <si>
    <t>Traslado al servicio de Hospitalización</t>
  </si>
  <si>
    <t>Traslado en Ambulancia</t>
  </si>
  <si>
    <t>0 - 20 Min.</t>
  </si>
  <si>
    <t>21 a 40 Min.</t>
  </si>
  <si>
    <t>41 Min o Más</t>
  </si>
  <si>
    <t>N/A</t>
  </si>
  <si>
    <t>CITAS Y FACTURACIÓN</t>
  </si>
  <si>
    <t>No aplica</t>
  </si>
  <si>
    <t>SERVICIOS COMPLEMETARIOS</t>
  </si>
  <si>
    <t>COMPARATIVO TIEMPOS DE ATENCIÓN EN LOS SERVICIOS AMBULATORIOS</t>
  </si>
  <si>
    <t>TIEMPO HOSPITALIZACIÓN</t>
  </si>
  <si>
    <t>Tiempo de atención desde el ingreso hasta la atención médica</t>
  </si>
  <si>
    <t>Cumplimiento de orden de salida</t>
  </si>
  <si>
    <t>Toma de ayudas diagnósticas</t>
  </si>
  <si>
    <t>traslado entre servicios</t>
  </si>
  <si>
    <t>HOSPITALIZACIÓN GINECOLOGÍA</t>
  </si>
  <si>
    <t>CIRUGIA</t>
  </si>
  <si>
    <t>Atención en información al usuario</t>
  </si>
  <si>
    <t>9. ¿Le mencionaron los derechos como pacientes?</t>
  </si>
  <si>
    <t>SI</t>
  </si>
  <si>
    <t>NO</t>
  </si>
  <si>
    <t>No Recuerda</t>
  </si>
  <si>
    <t>No Responde</t>
  </si>
  <si>
    <t>DATOS GENERALES</t>
  </si>
  <si>
    <t>1. CONDICIÓN ESPECIAL</t>
  </si>
  <si>
    <t>3. RESPETO</t>
  </si>
  <si>
    <t>4.  CONFORT</t>
  </si>
  <si>
    <t>5. INFORMACIÓN SUMINISTRADA</t>
  </si>
  <si>
    <t>6. TIEMPO EN LA ATENCIÓN</t>
  </si>
  <si>
    <t>7. RECOMENDARIA</t>
  </si>
  <si>
    <t>8. EVENTOS</t>
  </si>
  <si>
    <t>9. DERECHOS Y DEBERES</t>
  </si>
  <si>
    <t>CUAL</t>
  </si>
  <si>
    <t>10. SATISFACCIÓN</t>
  </si>
  <si>
    <t>11. CANALES</t>
  </si>
  <si>
    <t>ESTRATEGIA</t>
  </si>
  <si>
    <t>12. RESIDUOS</t>
  </si>
  <si>
    <t>13. RUTAS DE EVACUACIÓN</t>
  </si>
  <si>
    <t>FECHA</t>
  </si>
  <si>
    <t>RÉGIMEN</t>
  </si>
  <si>
    <t>OTROS</t>
  </si>
  <si>
    <t>Cual?</t>
  </si>
  <si>
    <t>CONDICIÓN ESPECIAL</t>
  </si>
  <si>
    <t>Otra?</t>
  </si>
  <si>
    <t>LA CONDICIÓN FUE TENIDA ENCUENTA DURANTE LA ATENCIÓN</t>
  </si>
  <si>
    <t>Donde?</t>
  </si>
  <si>
    <t>Operario de Aseo</t>
  </si>
  <si>
    <t>Terapeuta (Físico, Respiratorio, Lenguaje, Psicologo, Trabajo Social)</t>
  </si>
  <si>
    <t>¿Por que?</t>
  </si>
  <si>
    <t>¿Cree usted que se cometío alguna falla durante su atención dentro del Hospital?</t>
  </si>
  <si>
    <t>Otras</t>
  </si>
  <si>
    <t>Si su respuesta es Si, por favor mencione alguno de los derechos de los pacientes que le informaron</t>
  </si>
  <si>
    <t>Observaciones y sugerencias</t>
  </si>
  <si>
    <t>Nombre de quien realiza la encuesta</t>
  </si>
  <si>
    <t>Si su respuesta es Si, señale su canal</t>
  </si>
  <si>
    <t>A traves de que medio recibió la educación en derechos y deberes</t>
  </si>
  <si>
    <t>TIEMPO EN LA ATENCIÓN</t>
  </si>
  <si>
    <t>EVENTOS</t>
  </si>
  <si>
    <t>DERECHOS Y DEBERES</t>
  </si>
  <si>
    <t>CUAL?</t>
  </si>
  <si>
    <t>SERVICIOS HOSPITALARIOS</t>
  </si>
  <si>
    <t>Derechos y deberes, rutas de evacuación, disposición de residuos y canales de PQRSFD</t>
  </si>
  <si>
    <t>Su estado de salud (diagnóstico, tratamiento, cuidado, riesgos)</t>
  </si>
  <si>
    <t>Educación al paciente y familia</t>
  </si>
  <si>
    <t>Plan de egreso seguro</t>
  </si>
  <si>
    <t>7.6 ¿Por que?</t>
  </si>
  <si>
    <t>10. Si su respuesta es Si, por favor mencione alguno de los derechos de los pacientes que le informaron</t>
  </si>
  <si>
    <t>SATISFACCIÓN</t>
  </si>
  <si>
    <t>CANALES DE INFORMACIÓN</t>
  </si>
  <si>
    <t>A traves de ue medio recibió la educación en derechos y deberes</t>
  </si>
  <si>
    <t>RESIDUOS</t>
  </si>
  <si>
    <t>RUTAS EVACUACIÓN</t>
  </si>
  <si>
    <t>OBSERVACIONES</t>
  </si>
  <si>
    <t>¿ Le han informado sobre la clasificación de los residuos hospitalarios con su respectivo color para los desechos ?</t>
  </si>
  <si>
    <t>AMBUATORIO</t>
  </si>
  <si>
    <t>¿Conoce los canales para dar a conocer sus manifestaciones frente al servicio recibidos?</t>
  </si>
  <si>
    <t>10-. CALIFIQUE SU GRADO DE SATISFACCIÓN FRENTE AL SERVICIO QUE RECIBIDIO</t>
  </si>
  <si>
    <t>5-. MUY BUENO</t>
  </si>
  <si>
    <t>4-. BUENO</t>
  </si>
  <si>
    <t>3-. REGULAR</t>
  </si>
  <si>
    <t>2-. MALO</t>
  </si>
  <si>
    <t>1-. MUY MALO</t>
  </si>
  <si>
    <t>0. NO CONTESTAN</t>
  </si>
  <si>
    <t>SATISFECHOS</t>
  </si>
  <si>
    <t>8. ¿Cree usted que se cometío alguna falla durante su atención dentro del Hospital?</t>
  </si>
  <si>
    <t>% DE EVENTOS COMETIDOS</t>
  </si>
  <si>
    <t>¿le han informado sobre las rutas de evacuación frente a una emergencia?</t>
  </si>
  <si>
    <t>RUTAS</t>
  </si>
  <si>
    <t>Emsanar EPS</t>
  </si>
  <si>
    <t>Na</t>
  </si>
  <si>
    <t>Si</t>
  </si>
  <si>
    <t>Sí</t>
  </si>
  <si>
    <t>Línea Telefónica</t>
  </si>
  <si>
    <t>Carteleras institucionales</t>
  </si>
  <si>
    <t>No Aplica</t>
  </si>
  <si>
    <t>Zona Rural de Tuluá</t>
  </si>
  <si>
    <t>Correo Institucional</t>
  </si>
  <si>
    <t>Rotafolios</t>
  </si>
  <si>
    <t>Mujer Embarazada</t>
  </si>
  <si>
    <t>Folletos</t>
  </si>
  <si>
    <t>Página Web</t>
  </si>
  <si>
    <t>Victoria</t>
  </si>
  <si>
    <t>Zarzal</t>
  </si>
  <si>
    <t>Redes Sociales</t>
  </si>
  <si>
    <t>Persona con Discapacidad</t>
  </si>
  <si>
    <t>Andalucía</t>
  </si>
  <si>
    <t>Buzón de Sugerencias</t>
  </si>
  <si>
    <t>Oficina de Atención e Información al usuario</t>
  </si>
  <si>
    <t>Derecho aun lugar que garantice la privacidad</t>
  </si>
  <si>
    <t>Trujillo</t>
  </si>
  <si>
    <t>Maracaibo</t>
  </si>
  <si>
    <t>Centro</t>
  </si>
  <si>
    <t>Aguaclara</t>
  </si>
  <si>
    <t>Toma de muestras</t>
  </si>
  <si>
    <t>Ayudas Diagnósticas Laboratorio y Patología</t>
  </si>
  <si>
    <t>Gloria Nancy Delgado</t>
  </si>
  <si>
    <t>Jardin</t>
  </si>
  <si>
    <t>Fatima</t>
  </si>
  <si>
    <t>En toma de muestras</t>
  </si>
  <si>
    <t>Ayudas Diagnósticas RX - TAC</t>
  </si>
  <si>
    <t>Toma de imagenes</t>
  </si>
  <si>
    <t>Buena atención</t>
  </si>
  <si>
    <t>Ayudas Diagnósticas Servicios Complementarios</t>
  </si>
  <si>
    <t>Jazmin</t>
  </si>
  <si>
    <t>Palobonito</t>
  </si>
  <si>
    <t>Avenida cali</t>
  </si>
  <si>
    <t>Pueblo nuevo</t>
  </si>
  <si>
    <t>La marina</t>
  </si>
  <si>
    <t>Panamericano</t>
  </si>
  <si>
    <t>Cespedes</t>
  </si>
  <si>
    <t>Farfan</t>
  </si>
  <si>
    <t>Salesianos</t>
  </si>
  <si>
    <t>Principe</t>
  </si>
  <si>
    <t>Los caimos</t>
  </si>
  <si>
    <t>Miraflores</t>
  </si>
  <si>
    <t>El bosque</t>
  </si>
  <si>
    <t>Fenicia</t>
  </si>
  <si>
    <t>Terapia Física</t>
  </si>
  <si>
    <t>Porvenir</t>
  </si>
  <si>
    <t>En la atencion</t>
  </si>
  <si>
    <t>Príncipe</t>
  </si>
  <si>
    <t>Salonica</t>
  </si>
  <si>
    <t>Tres esquinas</t>
  </si>
  <si>
    <t>Particular</t>
  </si>
  <si>
    <t>Salud Famiiar y comunitaria</t>
  </si>
  <si>
    <t>Rojas</t>
  </si>
  <si>
    <t>Salesiano</t>
  </si>
  <si>
    <t>En toma de imagenes</t>
  </si>
  <si>
    <t>Sajonia</t>
  </si>
  <si>
    <t>Portales del rio</t>
  </si>
  <si>
    <t>Bugalagrande</t>
  </si>
  <si>
    <t>Claudia Padilla</t>
  </si>
  <si>
    <t>Bosques de Maracaibo</t>
  </si>
  <si>
    <t>Buzón de Sugerencias, Oficina de Atención e Información al usuario</t>
  </si>
  <si>
    <t>HOSPITALIZACIÓN PEDIATRÍA</t>
  </si>
  <si>
    <t>HOSPITALIZACIÓN QUIRURGICAS</t>
  </si>
  <si>
    <t>Villa liliana</t>
  </si>
  <si>
    <t>Laureles</t>
  </si>
  <si>
    <t>La campiña</t>
  </si>
  <si>
    <t>Nariño</t>
  </si>
  <si>
    <t>Villa colombia</t>
  </si>
  <si>
    <t>Buen servicio</t>
  </si>
  <si>
    <t>Veraneras</t>
  </si>
  <si>
    <t>Fomag</t>
  </si>
  <si>
    <t>La villa</t>
  </si>
  <si>
    <t>La bastilla</t>
  </si>
  <si>
    <t>Bolivar</t>
  </si>
  <si>
    <t>Villa nueva</t>
  </si>
  <si>
    <t>Riofrio</t>
  </si>
  <si>
    <t>Toma de endoscopia</t>
  </si>
  <si>
    <t>La palmera</t>
  </si>
  <si>
    <t>La rivera</t>
  </si>
  <si>
    <t>Subsidiado</t>
  </si>
  <si>
    <t>Citas Médicas - Facturación</t>
  </si>
  <si>
    <t>DEFINITIVAMENTE SI</t>
  </si>
  <si>
    <t>Recibir una atencion medica oportuna, Mantener una comunicación clara y permanente, Recibir un trato digno</t>
  </si>
  <si>
    <t>Recibir un trato digno</t>
  </si>
  <si>
    <t>Contributivo</t>
  </si>
  <si>
    <t>NA</t>
  </si>
  <si>
    <t>Nq</t>
  </si>
  <si>
    <t>Farfán</t>
  </si>
  <si>
    <t>No, Si</t>
  </si>
  <si>
    <t>Información</t>
  </si>
  <si>
    <t>Acceder a los servicios y tecnologias, Recibir una atencion medica oportuna, Recibir un trato digno</t>
  </si>
  <si>
    <t>San Luis</t>
  </si>
  <si>
    <t>Mantener una comunicación clara y permanente</t>
  </si>
  <si>
    <t>Villacolombia</t>
  </si>
  <si>
    <t>Recibir un trato digno, Confidencialidad de la historia clinica</t>
  </si>
  <si>
    <t>Especial</t>
  </si>
  <si>
    <t>Recibir una atencion medica oportuna, Mantener una comunicación clara y permanente, Recibir un trato digno, Confidencialidad de la historia clinica</t>
  </si>
  <si>
    <t>Rotafolios, Presencial</t>
  </si>
  <si>
    <t>Excelente la atención</t>
  </si>
  <si>
    <t>Muy buena la atención</t>
  </si>
  <si>
    <t>El palmar</t>
  </si>
  <si>
    <t>Entrerrios</t>
  </si>
  <si>
    <t>Acceder a los servicios y tecnologias, Recibir una atencion medica oportuna, Mantener una comunicación clara y permanente, Recibir un trato digno</t>
  </si>
  <si>
    <t>Acceder a los servicios y tecnologias, Mantener una comunicación clara y permanente, Recibir un trato digno, Confidencialidad de la historia clinica</t>
  </si>
  <si>
    <t>Recibir una atencion medica oportuna, Recibir un trato digno, Confidencialidad de la historia clinica</t>
  </si>
  <si>
    <t>Las americas</t>
  </si>
  <si>
    <t>Recibir una atencion medica oportuna, Recibir un trato digno, Derecho aun lugar que garantice la privacidad</t>
  </si>
  <si>
    <t>Nuevo Farfán</t>
  </si>
  <si>
    <t>Acceder a los servicios y tecnologias, Mantener una comunicación clara y permanente, Recibir un trato digno</t>
  </si>
  <si>
    <t>Buen trato</t>
  </si>
  <si>
    <t>Asogrin</t>
  </si>
  <si>
    <t>La graciela</t>
  </si>
  <si>
    <t>Bocas de tuluá</t>
  </si>
  <si>
    <t>Recibir una atencion medica oportuna</t>
  </si>
  <si>
    <t>Recibir tratamiento y agotar</t>
  </si>
  <si>
    <t>En la toma de imagenes</t>
  </si>
  <si>
    <t>Donacion de organos</t>
  </si>
  <si>
    <t>Confidencialidad de la historia clinica</t>
  </si>
  <si>
    <t>Estudios de investigacion</t>
  </si>
  <si>
    <t>JULIO</t>
  </si>
  <si>
    <t>Acceder a los servicios y tecnologias</t>
  </si>
  <si>
    <t>BuenA ATENCIÓN</t>
  </si>
  <si>
    <t>Recibir orientacion adecuada</t>
  </si>
  <si>
    <t>Revisar y recibir costos por los servicios</t>
  </si>
  <si>
    <t>Conocer los medios y canales</t>
  </si>
  <si>
    <t>Nuevo farfan</t>
  </si>
  <si>
    <t>Manejo del dolor</t>
  </si>
  <si>
    <t>Refugio</t>
  </si>
  <si>
    <t>San vicente</t>
  </si>
  <si>
    <t>El portal</t>
  </si>
  <si>
    <t>El oasis</t>
  </si>
  <si>
    <t>Popular</t>
  </si>
  <si>
    <t>Retiro</t>
  </si>
  <si>
    <t>El picacho</t>
  </si>
  <si>
    <t>En la toma de muestras</t>
  </si>
  <si>
    <t>Horizonte</t>
  </si>
  <si>
    <t>Las olas</t>
  </si>
  <si>
    <t>Ns</t>
  </si>
  <si>
    <t>No, Errores relacionados con el manejo de la enfermedad</t>
  </si>
  <si>
    <t>San pedro</t>
  </si>
  <si>
    <t>Independencia</t>
  </si>
  <si>
    <t>Entrerios</t>
  </si>
  <si>
    <t>No, Falta de calidad en la atención del personal</t>
  </si>
  <si>
    <t>Salud Familiar y comunitaria</t>
  </si>
  <si>
    <t>San Antonio</t>
  </si>
  <si>
    <t>Buena la atención</t>
  </si>
  <si>
    <t>7.1 DEFINITIVAMENTE SI</t>
  </si>
  <si>
    <t>FEBRERO</t>
  </si>
  <si>
    <t>Escobar</t>
  </si>
  <si>
    <t>Mantener una comunicación clara y permanente, Recibir un trato digno</t>
  </si>
  <si>
    <t>Policía</t>
  </si>
  <si>
    <t>Todo muy bien</t>
  </si>
  <si>
    <t>El lago</t>
  </si>
  <si>
    <t>Bien</t>
  </si>
  <si>
    <t>Bien todo</t>
  </si>
  <si>
    <t>Municipal</t>
  </si>
  <si>
    <t>Roldanillo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</si>
  <si>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</si>
  <si>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</si>
  <si>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Mantener una comunicación clara y permanente, Recibir un trato digno, Conocer los medios y canales</t>
  </si>
  <si>
    <t>Muy bueno todo</t>
  </si>
  <si>
    <t>El jardín</t>
  </si>
  <si>
    <t>Recibir una atencion medica oportuna, Mantener una comunicación clara y permanente, Recibir un trato digno, Conocer los medios y canales</t>
  </si>
  <si>
    <t>Campo Alegre Andalucía</t>
  </si>
  <si>
    <t>Recibir una atencion medica oportuna, Mantener una comunicación clara y permanente, Recibir un trato digno, Confidencialidad de la historia clinica, Conocer los medios y canales</t>
  </si>
  <si>
    <t>Rotafolios, Redes Sociales, Presencial</t>
  </si>
  <si>
    <t>Estambul</t>
  </si>
  <si>
    <t>La moralia</t>
  </si>
  <si>
    <t>San Pedro claver</t>
  </si>
  <si>
    <t>Recibir una atencion medica oportuna, Mantener una comunicación clara y permanente, Confidencialidad de la historia clinica, Derecho aun lugar que garantice la privacidad</t>
  </si>
  <si>
    <t>Muy buena atención</t>
  </si>
  <si>
    <t>Página Web, Oficina de Atención e Información al usuario</t>
  </si>
  <si>
    <t>CAMPOALEGRE</t>
  </si>
  <si>
    <t>En toma de examen</t>
  </si>
  <si>
    <t>Buen SERVICIO</t>
  </si>
  <si>
    <t>No, Mala administración de medicamentos</t>
  </si>
  <si>
    <t>La paz</t>
  </si>
  <si>
    <t>El laguito</t>
  </si>
  <si>
    <t>Lomitas</t>
  </si>
  <si>
    <t>Ña</t>
  </si>
  <si>
    <t>En atencion</t>
  </si>
  <si>
    <t>En toma de endoscopia</t>
  </si>
  <si>
    <t>Lusitania</t>
  </si>
  <si>
    <t>La colonia</t>
  </si>
  <si>
    <t>Marandua</t>
  </si>
  <si>
    <t>Ginecología</t>
  </si>
  <si>
    <t>recibir una atencion medica oportuna, mantener una comunicación clara y permanente, recibir un trato digno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</si>
  <si>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</si>
  <si>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</si>
  <si>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Muy bien</t>
  </si>
  <si>
    <t>Muy bien todo</t>
  </si>
  <si>
    <t>Diablos rojos</t>
  </si>
  <si>
    <t>Medicina interna</t>
  </si>
  <si>
    <t>acceder a los servicios y tecnologias, recibir una atencion medica oportuna, mantener una comunicación clara y permanente, recibir un trato digno</t>
  </si>
  <si>
    <t>recibir una atencion medica oportuna, mantener una comunicación clara y permanente, confidencialidad de la historia clinica, conocer los medios y canales</t>
  </si>
  <si>
    <t>recibir una atencion medica oportuna, mantener una comunicación clara y permanente, recibir un trato digno, confidencialidad de la historia clinica</t>
  </si>
  <si>
    <t>MARZO</t>
  </si>
  <si>
    <t>Centenario</t>
  </si>
  <si>
    <t>ABRIL</t>
  </si>
  <si>
    <t>Buena ATENCIÓN</t>
  </si>
  <si>
    <t>El retiro</t>
  </si>
  <si>
    <t>El condor</t>
  </si>
  <si>
    <t>Muy bien la atención</t>
  </si>
  <si>
    <t>Atención rápida</t>
  </si>
  <si>
    <t>Jorge Eliecer gaitan</t>
  </si>
  <si>
    <t>Paso nivel</t>
  </si>
  <si>
    <t>Cenegueta</t>
  </si>
  <si>
    <t>San Vicente de padua</t>
  </si>
  <si>
    <t>El dorado</t>
  </si>
  <si>
    <t>PROBABLEMENTE SI</t>
  </si>
  <si>
    <t>Buen servicio en todo</t>
  </si>
  <si>
    <t>Bicentenario</t>
  </si>
  <si>
    <t>Nas</t>
  </si>
  <si>
    <t>Buena</t>
  </si>
  <si>
    <t>LAS OLAS</t>
  </si>
  <si>
    <t>Servicio congestionado ..pero es excelente la atencion</t>
  </si>
  <si>
    <t>Recibir una atencion medica oportuna, Mantener una comunicación clara y permanente, Confidencialidad de la historia clinica, Revisar y recibir costos por los servicios</t>
  </si>
  <si>
    <t>Línea Telefónica, Oficina de Atención e Información al usuario</t>
  </si>
  <si>
    <t>La isla</t>
  </si>
  <si>
    <t>Recibir un trato digno, Donacion de organos, Recibir orientacion adecuada</t>
  </si>
  <si>
    <t>Excelente atención</t>
  </si>
  <si>
    <t>Boluvar</t>
  </si>
  <si>
    <t>Morales</t>
  </si>
  <si>
    <t>En toma del holter</t>
  </si>
  <si>
    <t>En toma de examen de prueba de esfuerzo</t>
  </si>
  <si>
    <t>La esperanza</t>
  </si>
  <si>
    <t>Descanso</t>
  </si>
  <si>
    <t>Villa del sur</t>
  </si>
  <si>
    <t>RíoFrío</t>
  </si>
  <si>
    <t>La independencia</t>
  </si>
  <si>
    <t>Buen servicio a pesar de la congestion</t>
  </si>
  <si>
    <t>Las veraneras</t>
  </si>
  <si>
    <t>Villa del lago</t>
  </si>
  <si>
    <t>La paila</t>
  </si>
  <si>
    <t>En la atencion y toma de imagenes</t>
  </si>
  <si>
    <t>Toma de imagenes y tac</t>
  </si>
  <si>
    <t>Toma del tac</t>
  </si>
  <si>
    <t>Toma de examen holter</t>
  </si>
  <si>
    <t>Vía los caimos</t>
  </si>
  <si>
    <t>Toma de examen colonoscopia</t>
  </si>
  <si>
    <t>Toma de examen colonoscopia y endoscopia</t>
  </si>
  <si>
    <t>Urbanización la paz</t>
  </si>
  <si>
    <t>Nidia Largo</t>
  </si>
  <si>
    <t>Saman del norte</t>
  </si>
  <si>
    <t>La ventura</t>
  </si>
  <si>
    <t>Saludvida SA EPS</t>
  </si>
  <si>
    <t>La cruz</t>
  </si>
  <si>
    <t>Flor de la campana</t>
  </si>
  <si>
    <t>Folletos, Presencial</t>
  </si>
  <si>
    <t>Santa Rita del rio</t>
  </si>
  <si>
    <t>En la toma de IMÁGENES</t>
  </si>
  <si>
    <t>Restrepo</t>
  </si>
  <si>
    <t>Darien</t>
  </si>
  <si>
    <t>Calima darien</t>
  </si>
  <si>
    <t>En toma del tac</t>
  </si>
  <si>
    <t>Nuevo fatima</t>
  </si>
  <si>
    <t>Buena atención en toma de la endoscopia</t>
  </si>
  <si>
    <t>En la toma del eco TT</t>
  </si>
  <si>
    <t>En la toma del examen prueba de esfuerzo</t>
  </si>
  <si>
    <t>Doce de octubre</t>
  </si>
  <si>
    <t>Balcones del empedrado</t>
  </si>
  <si>
    <t>Buena atención en la toma DE MUESTRAS</t>
  </si>
  <si>
    <t>Bosque</t>
  </si>
  <si>
    <t>En la toma del eco stres</t>
  </si>
  <si>
    <t>En toma del monitoreo</t>
  </si>
  <si>
    <t>Toma de colonoscopia</t>
  </si>
  <si>
    <t>el palmar</t>
  </si>
  <si>
    <t>ENERO</t>
  </si>
  <si>
    <t>El saman del norte</t>
  </si>
  <si>
    <t>Confidencialidad de la historia clinica, Conocer los medios y canales, Derecho aun lugar que garantice la privacidad</t>
  </si>
  <si>
    <t>La transversal</t>
  </si>
  <si>
    <t>El salto</t>
  </si>
  <si>
    <t>En lA ATENCION</t>
  </si>
  <si>
    <t>El jagual</t>
  </si>
  <si>
    <t>Mateguadua</t>
  </si>
  <si>
    <t>BuenlA atencion</t>
  </si>
  <si>
    <t>Portales rio</t>
  </si>
  <si>
    <t>El overo</t>
  </si>
  <si>
    <t>Casa rosa</t>
  </si>
  <si>
    <t>Si, Falta de calidad en la atención del personal</t>
  </si>
  <si>
    <t>El facturador</t>
  </si>
  <si>
    <t>Muy grosero para atender el joven del módulo 3 sergio</t>
  </si>
  <si>
    <t>Campiña</t>
  </si>
  <si>
    <t>Alvernia</t>
  </si>
  <si>
    <t>Jazmín</t>
  </si>
  <si>
    <t>Campo Alegre</t>
  </si>
  <si>
    <t>San José san pedro</t>
  </si>
  <si>
    <t>Excelente</t>
  </si>
  <si>
    <t>Acceder a los servicios y tecnologias, Recibir una atencion medica oportuna, Mantener una comunicación clara y permanente</t>
  </si>
  <si>
    <t>Fátima</t>
  </si>
  <si>
    <t>Es bueno</t>
  </si>
  <si>
    <t>Buga</t>
  </si>
  <si>
    <t>Acceder a los servicios y tecnologias, Recibir un trato digno</t>
  </si>
  <si>
    <t>Buena la atención de los médicos y todo el personal</t>
  </si>
  <si>
    <t>Buena atención de todos</t>
  </si>
  <si>
    <t>Buena atención del personal</t>
  </si>
  <si>
    <t>Yotoco</t>
  </si>
  <si>
    <t>Es buena la atención del personal</t>
  </si>
  <si>
    <t>San Pedro</t>
  </si>
  <si>
    <t>Es buena la atención</t>
  </si>
  <si>
    <t>Buzón de Sugerencias, Línea Telefónica</t>
  </si>
  <si>
    <t>Acceder a los servicios y tecnologias, Recibir un trato digno, Confidencialidad de la historia clinica, Conocer los medios y canales</t>
  </si>
  <si>
    <t>Graciela</t>
  </si>
  <si>
    <t>El Dovio</t>
  </si>
  <si>
    <t>Hospitalización</t>
  </si>
  <si>
    <t>Siempre me ha gustado la atención</t>
  </si>
  <si>
    <t>Rotafolios, Pre</t>
  </si>
  <si>
    <t>Respetar los turnos quirúrgicos de los pacientes</t>
  </si>
  <si>
    <t>San felipe</t>
  </si>
  <si>
    <t>No me gustó el trato de una jefe el día domingo 1 de marzo porque me quería cambiar de cuarto</t>
  </si>
  <si>
    <t>Sevilla</t>
  </si>
  <si>
    <t>Rubén cruz</t>
  </si>
  <si>
    <t>Asoagrin</t>
  </si>
  <si>
    <t>Senderos de Villa liliana</t>
  </si>
  <si>
    <t>Rotafolios,</t>
  </si>
  <si>
    <t>Buenos aires</t>
  </si>
  <si>
    <t>Quirúrgicas</t>
  </si>
  <si>
    <t>Nuevo alvernia</t>
  </si>
  <si>
    <t>Quirúrgica</t>
  </si>
  <si>
    <t>La quinta</t>
  </si>
  <si>
    <t>recibir una atencion medica oportuna, mantener una comunicación clara y permanente, recibir orientacion adecuada</t>
  </si>
  <si>
    <t>POLICÍA</t>
  </si>
  <si>
    <t>San Lorenzo</t>
  </si>
  <si>
    <t>recibir una atencion medica oportuna, mantener una comunicación clara y permanente</t>
  </si>
  <si>
    <t>Bolívar</t>
  </si>
  <si>
    <t>Americas</t>
  </si>
  <si>
    <t>7.2 PROBABLEMENTE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</si>
</sst>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auto="1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justify"/>
    </xf>
    <xf numFmtId="0" fontId="0" fillId="2" borderId="6" xfId="0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9" fontId="0" fillId="2" borderId="5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justify"/>
    </xf>
    <xf numFmtId="0" fontId="0" fillId="2" borderId="5" xfId="0" applyFill="1" applyBorder="1"/>
    <xf numFmtId="0" fontId="4" fillId="4" borderId="5" xfId="0" applyFont="1" applyFill="1" applyBorder="1"/>
    <xf numFmtId="10" fontId="0" fillId="2" borderId="5" xfId="0" applyNumberForma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4" fillId="8" borderId="0" xfId="0" applyFont="1" applyFill="1" applyAlignment="1">
      <alignment horizontal="left" vertical="justify"/>
    </xf>
    <xf numFmtId="0" fontId="4" fillId="8" borderId="0" xfId="0" applyFont="1" applyFill="1"/>
    <xf numFmtId="0" fontId="2" fillId="2" borderId="5" xfId="0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9" fontId="0" fillId="2" borderId="2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22" fontId="1" fillId="0" borderId="11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10" fillId="1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9" fontId="0" fillId="2" borderId="7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8" borderId="0" xfId="0" applyFont="1" applyFill="1" applyAlignment="1">
      <alignment horizontal="left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wrapText="1"/>
    </xf>
    <xf numFmtId="9" fontId="0" fillId="0" borderId="5" xfId="0" applyNumberForma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justify"/>
    </xf>
    <xf numFmtId="0" fontId="4" fillId="4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33" borderId="5" xfId="0" applyFill="1" applyBorder="1" applyAlignment="1">
      <alignment horizontal="center" wrapText="1"/>
    </xf>
    <xf numFmtId="0" fontId="2" fillId="3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vertical="center"/>
    </xf>
    <xf numFmtId="9" fontId="0" fillId="0" borderId="0" xfId="0" applyNumberFormat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12" fillId="20" borderId="23" xfId="0" applyFont="1" applyFill="1" applyBorder="1" applyAlignment="1">
      <alignment horizontal="center" vertical="center" wrapText="1"/>
    </xf>
    <xf numFmtId="0" fontId="12" fillId="20" borderId="25" xfId="0" applyFont="1" applyFill="1" applyBorder="1" applyAlignment="1">
      <alignment horizontal="center" vertical="center" wrapText="1"/>
    </xf>
    <xf numFmtId="0" fontId="14" fillId="21" borderId="24" xfId="0" applyFont="1" applyFill="1" applyBorder="1" applyAlignment="1">
      <alignment horizontal="center" vertical="center" wrapText="1"/>
    </xf>
    <xf numFmtId="0" fontId="14" fillId="21" borderId="26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4" borderId="5" xfId="0" applyFill="1" applyBorder="1" applyAlignment="1">
      <alignment horizontal="center"/>
    </xf>
    <xf numFmtId="0" fontId="2" fillId="26" borderId="2" xfId="0" applyFont="1" applyFill="1" applyBorder="1" applyAlignment="1">
      <alignment horizontal="center" wrapText="1"/>
    </xf>
    <xf numFmtId="0" fontId="2" fillId="26" borderId="3" xfId="0" applyFont="1" applyFill="1" applyBorder="1" applyAlignment="1">
      <alignment horizontal="center" wrapText="1"/>
    </xf>
    <xf numFmtId="0" fontId="2" fillId="26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1" borderId="5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2" borderId="29" xfId="0" applyFont="1" applyFill="1" applyBorder="1" applyAlignment="1">
      <alignment horizontal="center" wrapText="1"/>
    </xf>
    <xf numFmtId="0" fontId="2" fillId="32" borderId="21" xfId="0" applyFont="1" applyFill="1" applyBorder="1" applyAlignment="1">
      <alignment horizontal="center" wrapText="1"/>
    </xf>
    <xf numFmtId="0" fontId="2" fillId="32" borderId="3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24" borderId="29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29" borderId="2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2" fillId="24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  <color rgb="FF00FFFF"/>
      <color rgb="FF3399FF"/>
      <color rgb="FFFFFFCC"/>
      <color rgb="FF00FFCC"/>
      <color rgb="FF6666FF"/>
      <color rgb="FFCCCC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EN EL MES DE JULIO DE 2023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2-431E-965D-DB4A6CA5FFD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2-431E-965D-DB4A6CA5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C2-4889-ABC7-4779C15CA75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C2-4889-ABC7-4779C15CA7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SEXO!$E$5:$E$6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SEXO!$F$5:$F$6</c:f>
              <c:numCache>
                <c:formatCode>0%</c:formatCode>
                <c:ptCount val="2"/>
                <c:pt idx="0">
                  <c:v>0.6071428571428571</c:v>
                </c:pt>
                <c:pt idx="1">
                  <c:v>0.20054945054945056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2-4889-ABC7-4779C15CA7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HOSPITALIZACIÓN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3-4756-9009-40E82C1E05D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3-4756-9009-40E82C1E0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SEXO!$E$17:$E$18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SEXO!$F$17:$F$18</c:f>
              <c:numCache>
                <c:formatCode>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3-4756-9009-40E82C1E05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Sexo,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SEXO!$B$29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SEXO!$B$30:$B$31</c:f>
              <c:numCache>
                <c:formatCode>0%</c:formatCode>
                <c:ptCount val="2"/>
                <c:pt idx="0">
                  <c:v>0.6071428571428571</c:v>
                </c:pt>
                <c:pt idx="1">
                  <c:v>0.20054945054945056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6-46D6-8BD2-7726A14E0F0D}"/>
            </c:ext>
          </c:extLst>
        </c:ser>
        <c:ser>
          <c:idx val="1"/>
          <c:order val="1"/>
          <c:tx>
            <c:strRef>
              <c:f>SEXO!$C$29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SEXO!$C$30:$C$31</c:f>
              <c:numCache>
                <c:formatCode>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6-46D6-8BD2-7726A14E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LOS SERVICIOS AMBULATORIOS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BD-A971-A2418589D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A-4ABD-A971-A2418589D2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8A-4ABD-A971-A2418589D26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BD-A971-A2418589D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0.59183673469387754</c:v>
                </c:pt>
                <c:pt idx="1">
                  <c:v>2.0408163265306121E-2</c:v>
                </c:pt>
                <c:pt idx="2">
                  <c:v>0</c:v>
                </c:pt>
                <c:pt idx="3">
                  <c:v>0.38775510204081631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A-4ABD-A971-A2418589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REGIMEN,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7.092244517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880703268255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0-4079-92A9-3FB00617021C}"/>
                </c:ext>
              </c:extLst>
            </c:dLbl>
            <c:dLbl>
              <c:idx val="2"/>
              <c:layout>
                <c:manualLayout>
                  <c:x val="-2.4577565830139199E-3"/>
                  <c:y val="-9.4145543450904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0-4079-92A9-3FB006170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REGIMEN!$E$20:$E$23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REGIMEN!$F$20:$F$23</c:f>
              <c:numCache>
                <c:formatCode>0%</c:formatCode>
                <c:ptCount val="4"/>
                <c:pt idx="0">
                  <c:v>0.46938775510204084</c:v>
                </c:pt>
                <c:pt idx="1">
                  <c:v>6.1224489795918366E-2</c:v>
                </c:pt>
                <c:pt idx="2">
                  <c:v>0</c:v>
                </c:pt>
                <c:pt idx="3">
                  <c:v>0.46938775510204084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079-92A9-3FB006170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Regimen,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REGIMEN!$B$34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REGIMEN!$B$35:$B$38</c:f>
              <c:numCache>
                <c:formatCode>0%</c:formatCode>
                <c:ptCount val="4"/>
                <c:pt idx="0">
                  <c:v>0.59183673469387754</c:v>
                </c:pt>
                <c:pt idx="1">
                  <c:v>2.0408163265306121E-2</c:v>
                </c:pt>
                <c:pt idx="2">
                  <c:v>0</c:v>
                </c:pt>
                <c:pt idx="3">
                  <c:v>0.38775510204081631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7-44DE-ABD5-04C8A81A4C79}"/>
            </c:ext>
          </c:extLst>
        </c:ser>
        <c:ser>
          <c:idx val="1"/>
          <c:order val="1"/>
          <c:tx>
            <c:strRef>
              <c:f>REGIMEN!$C$34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REGIMEN!$C$35:$C$38</c:f>
              <c:numCache>
                <c:formatCode>0%</c:formatCode>
                <c:ptCount val="4"/>
                <c:pt idx="0">
                  <c:v>0.46938775510204084</c:v>
                </c:pt>
                <c:pt idx="1">
                  <c:v>6.1224489795918366E-2</c:v>
                </c:pt>
                <c:pt idx="2">
                  <c:v>0</c:v>
                </c:pt>
                <c:pt idx="3">
                  <c:v>0.46938775510204084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7-44DE-ABD5-04C8A81A4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EPS - POBLACIÓN ATENDIDA  EN EN LOS SERVICOS DE CONSULTA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0-4295-A13E-D50AEFBEBB48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60-4295-A13E-D50AEFBEBB48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60-4295-A13E-D50AEFBEBB48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0-4295-A13E-D50AEFBEBB48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0-4295-A13E-D50AEFBEBB48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60-4295-A13E-D50AEFBEBB48}"/>
              </c:ext>
            </c:extLst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60-4295-A13E-D50AEFBEBB48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60-4295-A13E-D50AEFBEBB48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60-4295-A13E-D50AEFBEBB48}"/>
              </c:ext>
            </c:extLst>
          </c:dPt>
          <c:cat>
            <c:strRef>
              <c:f>EPS!$E$6:$E$20</c:f>
              <c:strCache>
                <c:ptCount val="15"/>
                <c:pt idx="0">
                  <c:v>Asmetsalud</c:v>
                </c:pt>
                <c:pt idx="1">
                  <c:v>Compensar
</c:v>
                </c:pt>
                <c:pt idx="2">
                  <c:v>Coomeva EPS</c:v>
                </c:pt>
                <c:pt idx="3">
                  <c:v>Coopsalud</c:v>
                </c:pt>
                <c:pt idx="4">
                  <c:v>Emssanar EPS</c:v>
                </c:pt>
                <c:pt idx="5">
                  <c:v>EPS Convida</c:v>
                </c:pt>
                <c:pt idx="6">
                  <c:v>Famisanar</c:v>
                </c:pt>
                <c:pt idx="7">
                  <c:v>Fuerzas Militares</c:v>
                </c:pt>
                <c:pt idx="8">
                  <c:v>Nueva EPS</c:v>
                </c:pt>
                <c:pt idx="9">
                  <c:v>S.O.S.</c:v>
                </c:pt>
                <c:pt idx="10">
                  <c:v>Sanitas EPS</c:v>
                </c:pt>
                <c:pt idx="11">
                  <c:v>Soat</c:v>
                </c:pt>
                <c:pt idx="12">
                  <c:v>Sura EPS</c:v>
                </c:pt>
                <c:pt idx="13">
                  <c:v>Salud Vida SA EPS</c:v>
                </c:pt>
                <c:pt idx="14">
                  <c:v>Salud Vida SA EPS</c:v>
                </c:pt>
              </c:strCache>
            </c:strRef>
          </c:cat>
          <c:val>
            <c:numRef>
              <c:f>EPS!$F$6:$F$20</c:f>
              <c:numCache>
                <c:formatCode>0%</c:formatCode>
                <c:ptCount val="15"/>
                <c:pt idx="0">
                  <c:v>2.7210884353741496E-2</c:v>
                </c:pt>
                <c:pt idx="1">
                  <c:v>0</c:v>
                </c:pt>
                <c:pt idx="2">
                  <c:v>0</c:v>
                </c:pt>
                <c:pt idx="3">
                  <c:v>3.4013605442176869E-3</c:v>
                </c:pt>
                <c:pt idx="4">
                  <c:v>0.19727891156462585</c:v>
                </c:pt>
                <c:pt idx="5">
                  <c:v>0</c:v>
                </c:pt>
                <c:pt idx="6">
                  <c:v>3.7414965986394558E-2</c:v>
                </c:pt>
                <c:pt idx="7">
                  <c:v>6.4625850340136057E-2</c:v>
                </c:pt>
                <c:pt idx="8">
                  <c:v>0.51020408163265307</c:v>
                </c:pt>
                <c:pt idx="9">
                  <c:v>9.5238095238095233E-2</c:v>
                </c:pt>
                <c:pt idx="10">
                  <c:v>3.0612244897959183E-2</c:v>
                </c:pt>
                <c:pt idx="11">
                  <c:v>1.020408163265306E-2</c:v>
                </c:pt>
                <c:pt idx="12">
                  <c:v>1.020408163265306E-2</c:v>
                </c:pt>
                <c:pt idx="13">
                  <c:v>1.020408163265306E-2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60-4295-A13E-D50AEFBE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EPS  USUARIOS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ATENDIDA 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EPS!$E$35</c:f>
              <c:strCache>
                <c:ptCount val="1"/>
                <c:pt idx="0">
                  <c:v>Asmetsalud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E-46A1-A74B-7BD674004D2D}"/>
            </c:ext>
          </c:extLst>
        </c:ser>
        <c:ser>
          <c:idx val="1"/>
          <c:order val="1"/>
          <c:tx>
            <c:strRef>
              <c:f>EPS!$E$36</c:f>
              <c:strCache>
                <c:ptCount val="1"/>
                <c:pt idx="0">
                  <c:v>Compensar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6A1-A74B-7BD674004D2D}"/>
            </c:ext>
          </c:extLst>
        </c:ser>
        <c:ser>
          <c:idx val="2"/>
          <c:order val="2"/>
          <c:tx>
            <c:strRef>
              <c:f>EPS!$E$37</c:f>
              <c:strCache>
                <c:ptCount val="1"/>
                <c:pt idx="0">
                  <c:v>Coomeva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E-46A1-A74B-7BD674004D2D}"/>
            </c:ext>
          </c:extLst>
        </c:ser>
        <c:ser>
          <c:idx val="3"/>
          <c:order val="3"/>
          <c:tx>
            <c:strRef>
              <c:f>EPS!$E$38</c:f>
              <c:strCache>
                <c:ptCount val="1"/>
                <c:pt idx="0">
                  <c:v>Coopsalud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EPS!$F$38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E-46A1-A74B-7BD674004D2D}"/>
            </c:ext>
          </c:extLst>
        </c:ser>
        <c:ser>
          <c:idx val="4"/>
          <c:order val="4"/>
          <c:tx>
            <c:strRef>
              <c:f>EPS!$E$39</c:f>
              <c:strCache>
                <c:ptCount val="1"/>
                <c:pt idx="0">
                  <c:v>Emssanar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EPS!$F$39</c:f>
              <c:numCache>
                <c:formatCode>0%</c:formatCode>
                <c:ptCount val="1"/>
                <c:pt idx="0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E-46A1-A74B-7BD674004D2D}"/>
            </c:ext>
          </c:extLst>
        </c:ser>
        <c:ser>
          <c:idx val="5"/>
          <c:order val="5"/>
          <c:tx>
            <c:strRef>
              <c:f>EPS!$E$40</c:f>
              <c:strCache>
                <c:ptCount val="1"/>
                <c:pt idx="0">
                  <c:v>EPS Convida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DE-46A1-A74B-7BD674004D2D}"/>
            </c:ext>
          </c:extLst>
        </c:ser>
        <c:ser>
          <c:idx val="6"/>
          <c:order val="6"/>
          <c:tx>
            <c:strRef>
              <c:f>EPS!$E$41</c:f>
              <c:strCache>
                <c:ptCount val="1"/>
                <c:pt idx="0">
                  <c:v>Famisanar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EPS!$F$41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DE-46A1-A74B-7BD674004D2D}"/>
            </c:ext>
          </c:extLst>
        </c:ser>
        <c:ser>
          <c:idx val="7"/>
          <c:order val="7"/>
          <c:tx>
            <c:strRef>
              <c:f>EPS!$E$42</c:f>
              <c:strCache>
                <c:ptCount val="1"/>
                <c:pt idx="0">
                  <c:v>Fuerzas Militares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EPS!$F$42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E-46A1-A74B-7BD674004D2D}"/>
            </c:ext>
          </c:extLst>
        </c:ser>
        <c:ser>
          <c:idx val="8"/>
          <c:order val="8"/>
          <c:tx>
            <c:strRef>
              <c:f>EPS!$E$43</c:f>
              <c:strCache>
                <c:ptCount val="1"/>
                <c:pt idx="0">
                  <c:v>Nueva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EPS!$F$43</c:f>
              <c:numCache>
                <c:formatCode>0%</c:formatCode>
                <c:ptCount val="1"/>
                <c:pt idx="0">
                  <c:v>0.35849056603773582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E-46A1-A74B-7BD674004D2D}"/>
            </c:ext>
          </c:extLst>
        </c:ser>
        <c:ser>
          <c:idx val="9"/>
          <c:order val="9"/>
          <c:tx>
            <c:strRef>
              <c:f>EPS!$E$44</c:f>
              <c:strCache>
                <c:ptCount val="1"/>
                <c:pt idx="0">
                  <c:v>S.O.S.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EPS!$F$44</c:f>
              <c:numCache>
                <c:formatCode>0%</c:formatCode>
                <c:ptCount val="1"/>
                <c:pt idx="0">
                  <c:v>7.5471698113207544E-2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E-46A1-A74B-7BD674004D2D}"/>
            </c:ext>
          </c:extLst>
        </c:ser>
        <c:ser>
          <c:idx val="10"/>
          <c:order val="10"/>
          <c:tx>
            <c:strRef>
              <c:f>EPS!$E$45</c:f>
              <c:strCache>
                <c:ptCount val="1"/>
                <c:pt idx="0">
                  <c:v>Sanitas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E-46A1-A74B-7BD674004D2D}"/>
            </c:ext>
          </c:extLst>
        </c:ser>
        <c:ser>
          <c:idx val="11"/>
          <c:order val="11"/>
          <c:tx>
            <c:strRef>
              <c:f>EPS!$E$46</c:f>
              <c:strCache>
                <c:ptCount val="1"/>
                <c:pt idx="0">
                  <c:v>Soat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E-46A1-A74B-7BD674004D2D}"/>
            </c:ext>
          </c:extLst>
        </c:ser>
        <c:ser>
          <c:idx val="12"/>
          <c:order val="12"/>
          <c:tx>
            <c:strRef>
              <c:f>EPS!$E$47</c:f>
              <c:strCache>
                <c:ptCount val="1"/>
                <c:pt idx="0">
                  <c:v>Sura EPS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EPS!$F$47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DE-46A1-A74B-7BD674004D2D}"/>
            </c:ext>
          </c:extLst>
        </c:ser>
        <c:ser>
          <c:idx val="13"/>
          <c:order val="13"/>
          <c:tx>
            <c:strRef>
              <c:f>EPS!$E$48</c:f>
              <c:strCache>
                <c:ptCount val="1"/>
                <c:pt idx="0">
                  <c:v>Salud Vida SA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E-46A1-A74B-7BD674004D2D}"/>
            </c:ext>
          </c:extLst>
        </c:ser>
        <c:ser>
          <c:idx val="14"/>
          <c:order val="14"/>
          <c:tx>
            <c:strRef>
              <c:f>EPS!$E$49</c:f>
              <c:strCache>
                <c:ptCount val="1"/>
                <c:pt idx="0">
                  <c:v>Vinculados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DE-46A1-A74B-7BD674004D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EPS,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0</c:v>
                </c:pt>
                <c:pt idx="1">
                  <c:v>3.4013605442176874E-2</c:v>
                </c:pt>
                <c:pt idx="2">
                  <c:v>1.3605442176870748E-2</c:v>
                </c:pt>
                <c:pt idx="3">
                  <c:v>2.3809523809523808E-2</c:v>
                </c:pt>
                <c:pt idx="4">
                  <c:v>7.4829931972789115E-2</c:v>
                </c:pt>
                <c:pt idx="5">
                  <c:v>0</c:v>
                </c:pt>
                <c:pt idx="6">
                  <c:v>0.10204081632653061</c:v>
                </c:pt>
                <c:pt idx="7">
                  <c:v>8.8435374149659865E-2</c:v>
                </c:pt>
                <c:pt idx="8">
                  <c:v>0.66326530612244894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9-4312-94F9-1E82F1C5B267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4.0816326530612242E-2</c:v>
                </c:pt>
                <c:pt idx="1">
                  <c:v>2.0408163265306121E-2</c:v>
                </c:pt>
                <c:pt idx="2">
                  <c:v>8.1632653061224483E-2</c:v>
                </c:pt>
                <c:pt idx="3">
                  <c:v>0.12244897959183673</c:v>
                </c:pt>
                <c:pt idx="4">
                  <c:v>4.0816326530612242E-2</c:v>
                </c:pt>
                <c:pt idx="5">
                  <c:v>4.0816326530612242E-2</c:v>
                </c:pt>
                <c:pt idx="6">
                  <c:v>2.0408163265306121E-2</c:v>
                </c:pt>
                <c:pt idx="7">
                  <c:v>8.1632653061224483E-2</c:v>
                </c:pt>
                <c:pt idx="8">
                  <c:v>0.55102040816326525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9-4312-94F9-1E82F1C5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LUGAR DE RESIDENCIA 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FDA-A05C-61AEE00CFCB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3-4FDA-A05C-61AEE00CFCB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3-4FDA-A05C-61AEE00CFCBB}"/>
              </c:ext>
            </c:extLst>
          </c:dPt>
          <c:cat>
            <c:strRef>
              <c:f>RESIDENCIA!$E$6:$E$8</c:f>
              <c:strCache>
                <c:ptCount val="3"/>
                <c:pt idx="0">
                  <c:v>Tuluá</c:v>
                </c:pt>
                <c:pt idx="1">
                  <c:v>Otros Municipios</c:v>
                </c:pt>
                <c:pt idx="2">
                  <c:v>Zona Rural Tuluá</c:v>
                </c:pt>
              </c:strCache>
            </c:strRef>
          </c:cat>
          <c:val>
            <c:numRef>
              <c:f>RESIDENCIA!$F$6:$F$8</c:f>
              <c:numCache>
                <c:formatCode>0%</c:formatCode>
                <c:ptCount val="3"/>
                <c:pt idx="0">
                  <c:v>0.68707482993197277</c:v>
                </c:pt>
                <c:pt idx="1">
                  <c:v>0.20408163265306123</c:v>
                </c:pt>
                <c:pt idx="2">
                  <c:v>0.10884353741496598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3-4FDA-A05C-61AEE00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ambulatorios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25-4EF7-A286-8F7FE27DE3B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825-4EF7-A286-8F7FE27DE3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825-4EF7-A286-8F7FE27DE3B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825-4EF7-A286-8F7FE27DE3BD}"/>
              </c:ext>
            </c:extLst>
          </c:dPt>
          <c:dPt>
            <c:idx val="4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825-4EF7-A286-8F7FE27DE3BD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825-4EF7-A286-8F7FE27DE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RECOMENDARIA!$B$16:$I$16</c:f>
              <c:strCache>
                <c:ptCount val="7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  <c:pt idx="6">
                  <c:v>Salud Famiiar y comunitaria</c:v>
                </c:pt>
              </c:strCache>
            </c:strRef>
          </c:cat>
          <c:val>
            <c:numRef>
              <c:f>RECOMENDARIA!$B$17:$I$17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 formatCode="0.0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25-4EF7-A286-8F7FE27DE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LUGAR DE RESIDENCIA -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POBLACIÓN ATENDIDA  EN LOS SERVICIOS DE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RESIDENCIA!$E$19</c:f>
              <c:strCache>
                <c:ptCount val="1"/>
                <c:pt idx="0">
                  <c:v>Tuluá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RESIDENCIA!$F$19</c:f>
              <c:numCache>
                <c:formatCode>0%</c:formatCode>
                <c:ptCount val="1"/>
                <c:pt idx="0">
                  <c:v>0.63265306122448983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A-4701-BDEA-016B6A5621C8}"/>
            </c:ext>
          </c:extLst>
        </c:ser>
        <c:ser>
          <c:idx val="1"/>
          <c:order val="1"/>
          <c:tx>
            <c:strRef>
              <c:f>RESIDENCIA!$E$20</c:f>
              <c:strCache>
                <c:ptCount val="1"/>
                <c:pt idx="0">
                  <c:v>Otros Municipio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RESIDENCIA!$F$20</c:f>
              <c:numCache>
                <c:formatCode>0%</c:formatCode>
                <c:ptCount val="1"/>
                <c:pt idx="0">
                  <c:v>0.24489795918367346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A-4701-BDEA-016B6A5621C8}"/>
            </c:ext>
          </c:extLst>
        </c:ser>
        <c:ser>
          <c:idx val="2"/>
          <c:order val="2"/>
          <c:tx>
            <c:strRef>
              <c:f>RESIDENCIA!$E$21</c:f>
              <c:strCache>
                <c:ptCount val="1"/>
                <c:pt idx="0">
                  <c:v>Zona Rural Tuluá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RESIDENCIA!$F$21</c:f>
              <c:numCache>
                <c:formatCode>0%</c:formatCode>
                <c:ptCount val="1"/>
                <c:pt idx="0">
                  <c:v>0.12244897959183673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A-4701-BDEA-016B6A562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Lugar de Residencia,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RESIDENCIA!$B$32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RESIDENCIA!$B$33:$B$35</c:f>
              <c:numCache>
                <c:formatCode>0%</c:formatCode>
                <c:ptCount val="3"/>
                <c:pt idx="0">
                  <c:v>0.68707482993197277</c:v>
                </c:pt>
                <c:pt idx="1">
                  <c:v>0.20408163265306123</c:v>
                </c:pt>
                <c:pt idx="2">
                  <c:v>0.10884353741496598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2-4B91-9D48-07BD880BBF0A}"/>
            </c:ext>
          </c:extLst>
        </c:ser>
        <c:ser>
          <c:idx val="1"/>
          <c:order val="1"/>
          <c:tx>
            <c:strRef>
              <c:f>RESIDENCIA!$C$32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RESIDENCIA!$C$33:$C$35</c:f>
              <c:numCache>
                <c:formatCode>0%</c:formatCode>
                <c:ptCount val="3"/>
                <c:pt idx="0">
                  <c:v>0.63265306122448983</c:v>
                </c:pt>
                <c:pt idx="1">
                  <c:v>0.24489795918367346</c:v>
                </c:pt>
                <c:pt idx="2">
                  <c:v>0.12244897959183673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2-4B91-9D48-07BD880B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CONSULTA EXTERNA EN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EL MES DE JULIO DE 2023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3-48E3-9A8E-795DA29A5BC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3-48E3-9A8E-795DA29A5BC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3-48E3-9A8E-795DA29A5BC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3-48E3-9A8E-795DA29A5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0.59183673469387754</c:v>
                </c:pt>
                <c:pt idx="1">
                  <c:v>2.0408163265306121E-2</c:v>
                </c:pt>
                <c:pt idx="2">
                  <c:v>0</c:v>
                </c:pt>
                <c:pt idx="3">
                  <c:v>0.38775510204081631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3-48E3-9A8E-795DA29A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CONDICIÓN,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CONDICIONES!$E$26:$E$34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CONDICIONES!$F$26:$F$34</c:f>
              <c:numCache>
                <c:formatCode>0%</c:formatCode>
                <c:ptCount val="9"/>
                <c:pt idx="0">
                  <c:v>0.34693877551020408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0.12244897959183673</c:v>
                </c:pt>
                <c:pt idx="5">
                  <c:v>0</c:v>
                </c:pt>
                <c:pt idx="6">
                  <c:v>0</c:v>
                </c:pt>
                <c:pt idx="7">
                  <c:v>0.53061224489795922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F-47B1-B74C-D0B454C14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CONDICIÓN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5-44DC-B9A9-157D55D99A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5-44DC-B9A9-157D55D99A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5-44DC-B9A9-157D55D99A50}"/>
              </c:ext>
            </c:extLst>
          </c:dPt>
          <c:cat>
            <c:strRef>
              <c:f>CONDICIONES!$E$7:$E$15</c:f>
              <c:strCache>
                <c:ptCount val="9"/>
                <c:pt idx="0">
                  <c:v>Adulto Mayo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Menor de un año</c:v>
                </c:pt>
                <c:pt idx="6">
                  <c:v>Victima de Conflicto Armado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CONDICIONES!$F$7:$F$15</c:f>
              <c:numCache>
                <c:formatCode>0%</c:formatCode>
                <c:ptCount val="9"/>
                <c:pt idx="0">
                  <c:v>0.56122448979591832</c:v>
                </c:pt>
                <c:pt idx="1">
                  <c:v>3.4013605442176869E-3</c:v>
                </c:pt>
                <c:pt idx="2">
                  <c:v>0</c:v>
                </c:pt>
                <c:pt idx="3">
                  <c:v>0</c:v>
                </c:pt>
                <c:pt idx="4">
                  <c:v>2.3809523809523808E-2</c:v>
                </c:pt>
                <c:pt idx="5">
                  <c:v>0</c:v>
                </c:pt>
                <c:pt idx="6">
                  <c:v>3.4013605442176869E-3</c:v>
                </c:pt>
                <c:pt idx="7">
                  <c:v>0.33673469387755101</c:v>
                </c:pt>
                <c:pt idx="8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05-44DC-B9A9-157D55D9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Condición, población atendida durante el mes de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CONDICIONES!$B$40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CONDICIONES!$B$41:$B$49</c:f>
              <c:numCache>
                <c:formatCode>0%</c:formatCode>
                <c:ptCount val="9"/>
                <c:pt idx="0">
                  <c:v>0.56122448979591832</c:v>
                </c:pt>
                <c:pt idx="1">
                  <c:v>3.4013605442176869E-3</c:v>
                </c:pt>
                <c:pt idx="2">
                  <c:v>0</c:v>
                </c:pt>
                <c:pt idx="3">
                  <c:v>0</c:v>
                </c:pt>
                <c:pt idx="4">
                  <c:v>2.3809523809523808E-2</c:v>
                </c:pt>
                <c:pt idx="5">
                  <c:v>3.4013605442176869E-3</c:v>
                </c:pt>
                <c:pt idx="7">
                  <c:v>0.33673469387755101</c:v>
                </c:pt>
                <c:pt idx="8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9-44B1-BFE4-F381A4DB7D20}"/>
            </c:ext>
          </c:extLst>
        </c:ser>
        <c:ser>
          <c:idx val="1"/>
          <c:order val="1"/>
          <c:tx>
            <c:strRef>
              <c:f>CONDICIONES!$C$40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CONDICIONES!$C$41:$C$49</c:f>
              <c:numCache>
                <c:formatCode>0%</c:formatCode>
                <c:ptCount val="9"/>
                <c:pt idx="0">
                  <c:v>0.34693877551020408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0.12244897959183673</c:v>
                </c:pt>
                <c:pt idx="5">
                  <c:v>0</c:v>
                </c:pt>
                <c:pt idx="6">
                  <c:v>0</c:v>
                </c:pt>
                <c:pt idx="7">
                  <c:v>0.53061224489795922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9-44B1-BFE4-F381A4DB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LA CONDICIÓN FUÉ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TENIDA EN CUENTA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DURANTE LA ATENCIÓN EN LOS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1B6-8396-AF43E5082F1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1B6-8396-AF43E5082F1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1B6-8396-AF43E5082F16}"/>
              </c:ext>
            </c:extLst>
          </c:dPt>
          <c:cat>
            <c:strRef>
              <c:f>'COND-CUENTA'!$E$6:$E$8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'COND-CUENTA'!$F$6:$F$8</c:f>
              <c:numCache>
                <c:formatCode>0%</c:formatCode>
                <c:ptCount val="3"/>
                <c:pt idx="0">
                  <c:v>0.67006802721088432</c:v>
                </c:pt>
                <c:pt idx="1">
                  <c:v>1.020408163265306E-2</c:v>
                </c:pt>
                <c:pt idx="2">
                  <c:v>0.31972789115646261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B1-41B6-8396-AF43E508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LA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CONDICIÓN FÚE TENIDA EN CUENTA EN DURANTE LA ATENCIÓN EN HOSPITALIZACIÓN </a:t>
            </a:r>
            <a:endParaRPr lang="es-CO" sz="14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'COND-CUENTA'!$E$18:$E$20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'COND-CUENTA'!$F$18:$F$20</c:f>
              <c:numCache>
                <c:formatCode>0%</c:formatCode>
                <c:ptCount val="3"/>
                <c:pt idx="0">
                  <c:v>0.48979591836734693</c:v>
                </c:pt>
                <c:pt idx="1">
                  <c:v>0</c:v>
                </c:pt>
                <c:pt idx="2">
                  <c:v>0.51020408163265307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1-46CF-B75E-E2D0F7556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RESPETO RECIBIDO EN</a:t>
            </a:r>
            <a:r>
              <a:rPr lang="es-CO" b="1" baseline="0"/>
              <a:t> LOS SERVICIOS AMBULATORIOS POR LOS COLABORADORES QUE ATENDIERON LOS USUARIOS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'RESP-SERV-AMB'!$A$79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'RESP-SERV-AMB'!$B$79:$P$79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E-45F8-B118-742C7375DF74}"/>
            </c:ext>
          </c:extLst>
        </c:ser>
        <c:ser>
          <c:idx val="1"/>
          <c:order val="1"/>
          <c:tx>
            <c:strRef>
              <c:f>'RESP-SERV-AMB'!$A$80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'RESP-SERV-AMB'!$B$80:$P$80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E-45F8-B118-742C7375DF74}"/>
            </c:ext>
          </c:extLst>
        </c:ser>
        <c:ser>
          <c:idx val="2"/>
          <c:order val="2"/>
          <c:tx>
            <c:strRef>
              <c:f>'RESP-SERV-AMB'!$A$81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'RESP-SERV-AMB'!$B$81:$P$81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E-45F8-B118-742C7375DF74}"/>
            </c:ext>
          </c:extLst>
        </c:ser>
        <c:ser>
          <c:idx val="3"/>
          <c:order val="3"/>
          <c:tx>
            <c:strRef>
              <c:f>'RESP-SERV-AMB'!$A$82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'RESP-SERV-AMB'!$B$82:$P$82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E-45F8-B118-742C7375DF74}"/>
            </c:ext>
          </c:extLst>
        </c:ser>
        <c:ser>
          <c:idx val="4"/>
          <c:order val="4"/>
          <c:tx>
            <c:strRef>
              <c:f>'RESP-SERV-AMB'!$A$83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'RESP-SERV-AMB'!$B$83:$P$83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0.93333333333333335</c:v>
                </c:pt>
                <c:pt idx="4">
                  <c:v>0.8</c:v>
                </c:pt>
                <c:pt idx="5">
                  <c:v>0.76666666666666672</c:v>
                </c:pt>
                <c:pt idx="6">
                  <c:v>1</c:v>
                </c:pt>
                <c:pt idx="7">
                  <c:v>1</c:v>
                </c:pt>
                <c:pt idx="8">
                  <c:v>0.76666666666666672</c:v>
                </c:pt>
                <c:pt idx="9">
                  <c:v>0.76666666666666672</c:v>
                </c:pt>
                <c:pt idx="10">
                  <c:v>0.76666666666666672</c:v>
                </c:pt>
                <c:pt idx="11">
                  <c:v>0.76666666666666672</c:v>
                </c:pt>
                <c:pt idx="12">
                  <c:v>1</c:v>
                </c:pt>
                <c:pt idx="13">
                  <c:v>0.76666666666666672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E-45F8-B118-742C7375DF74}"/>
            </c:ext>
          </c:extLst>
        </c:ser>
        <c:ser>
          <c:idx val="5"/>
          <c:order val="5"/>
          <c:tx>
            <c:strRef>
              <c:f>'RESP-SERV-AMB'!$A$84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'RESP-SERV-AMB'!$B$84:$P$84</c:f>
              <c:numCache>
                <c:formatCode>0%</c:formatCode>
                <c:ptCount val="15"/>
                <c:pt idx="0">
                  <c:v>0.97959183673469385</c:v>
                </c:pt>
                <c:pt idx="1">
                  <c:v>0.97959183673469385</c:v>
                </c:pt>
                <c:pt idx="2">
                  <c:v>0.98979591836734693</c:v>
                </c:pt>
                <c:pt idx="3">
                  <c:v>0.97959183673469385</c:v>
                </c:pt>
                <c:pt idx="4">
                  <c:v>0.97959183673469385</c:v>
                </c:pt>
                <c:pt idx="5">
                  <c:v>0.97959183673469385</c:v>
                </c:pt>
                <c:pt idx="6">
                  <c:v>0.98979591836734693</c:v>
                </c:pt>
                <c:pt idx="7">
                  <c:v>0.98979591836734693</c:v>
                </c:pt>
                <c:pt idx="8">
                  <c:v>0.98979591836734693</c:v>
                </c:pt>
                <c:pt idx="9">
                  <c:v>0.98979591836734693</c:v>
                </c:pt>
                <c:pt idx="10">
                  <c:v>0.98979591836734693</c:v>
                </c:pt>
                <c:pt idx="11">
                  <c:v>0.98979591836734693</c:v>
                </c:pt>
                <c:pt idx="12">
                  <c:v>0.98979591836734693</c:v>
                </c:pt>
                <c:pt idx="13">
                  <c:v>0.97959183673469385</c:v>
                </c:pt>
                <c:pt idx="14">
                  <c:v>0.97959183673469385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E-45F8-B118-742C7375D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COMPARATIVO CALIFICACIÓN DE RESPETO RECIBIDO EN LOS SERVICIOS HOSPITALARIOS POR LOS COLABORADORES QUE ATENDIERON LOS USUARIOS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'RESP-SERV-HOS'!$A$91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'RESP-SERV-HOS'!$B$91:$M$91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6-47B8-A494-FDE8AEC29E42}"/>
            </c:ext>
          </c:extLst>
        </c:ser>
        <c:ser>
          <c:idx val="1"/>
          <c:order val="1"/>
          <c:tx>
            <c:strRef>
              <c:f>'RESP-SERV-HOS'!$A$92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'RESP-SERV-HOS'!$B$92:$M$92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0.7142857142857143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6-47B8-A494-FDE8AEC29E42}"/>
            </c:ext>
          </c:extLst>
        </c:ser>
        <c:ser>
          <c:idx val="2"/>
          <c:order val="2"/>
          <c:tx>
            <c:strRef>
              <c:f>'RESP-SERV-HOS'!$A$93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'RESP-SERV-HOS'!$B$93:$M$93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6-47B8-A494-FDE8AEC29E42}"/>
            </c:ext>
          </c:extLst>
        </c:ser>
        <c:ser>
          <c:idx val="3"/>
          <c:order val="3"/>
          <c:tx>
            <c:strRef>
              <c:f>'RESP-SERV-HOS'!$A$94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'RESP-SERV-HOS'!$B$94:$M$94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66-47B8-A494-FDE8AEC29E42}"/>
            </c:ext>
          </c:extLst>
        </c:ser>
        <c:ser>
          <c:idx val="4"/>
          <c:order val="4"/>
          <c:tx>
            <c:strRef>
              <c:f>'RESP-SERV-HOS'!$A$95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'RESP-SERV-HOS'!$B$95:$M$95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66-47B8-A494-FDE8AEC29E42}"/>
            </c:ext>
          </c:extLst>
        </c:ser>
        <c:ser>
          <c:idx val="5"/>
          <c:order val="5"/>
          <c:tx>
            <c:strRef>
              <c:f>'RESP-SERV-HOS'!$A$96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'RESP-SERV-HOS'!$B$96:$M$96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66-47B8-A494-FDE8AEC29E42}"/>
            </c:ext>
          </c:extLst>
        </c:ser>
        <c:ser>
          <c:idx val="6"/>
          <c:order val="6"/>
          <c:tx>
            <c:strRef>
              <c:f>'RESP-SERV-HOS'!$A$97</c:f>
              <c:strCache>
                <c:ptCount val="1"/>
                <c:pt idx="0">
                  <c:v>Cirugía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'RESP-SERV-HOS'!$B$97:$M$97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0.2857142857142857</c:v>
                </c:pt>
                <c:pt idx="8">
                  <c:v>1</c:v>
                </c:pt>
                <c:pt idx="9">
                  <c:v>0.5714285714285714</c:v>
                </c:pt>
                <c:pt idx="10">
                  <c:v>0</c:v>
                </c:pt>
                <c:pt idx="1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7B8-A494-FDE8AEC2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11C-4246-B0BD-70DC201AB37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11C-4246-B0BD-70DC201AB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11C-4246-B0BD-70DC201AB37C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11C-4246-B0BD-70DC201AB37C}"/>
              </c:ext>
            </c:extLst>
          </c:dPt>
          <c:dPt>
            <c:idx val="6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11C-4246-B0BD-70DC201AB37C}"/>
              </c:ext>
            </c:extLst>
          </c:dPt>
          <c:dLbls>
            <c:dLbl>
              <c:idx val="0"/>
              <c:layout>
                <c:manualLayout>
                  <c:x val="-6.4620355411955203E-3"/>
                  <c:y val="0.207253848430165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246-B0BD-70DC201AB37C}"/>
                </c:ext>
              </c:extLst>
            </c:dLbl>
            <c:dLbl>
              <c:idx val="1"/>
              <c:layout>
                <c:manualLayout>
                  <c:x val="-4.3080236941303602E-3"/>
                  <c:y val="0.267127182421102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246-B0BD-70DC201AB37C}"/>
                </c:ext>
              </c:extLst>
            </c:dLbl>
            <c:dLbl>
              <c:idx val="2"/>
              <c:layout>
                <c:manualLayout>
                  <c:x val="0"/>
                  <c:y val="0.24870461811619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246-B0BD-70DC201AB37C}"/>
                </c:ext>
              </c:extLst>
            </c:dLbl>
            <c:dLbl>
              <c:idx val="3"/>
              <c:layout>
                <c:manualLayout>
                  <c:x val="0"/>
                  <c:y val="0.1519861555154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246-B0BD-70DC201AB37C}"/>
                </c:ext>
              </c:extLst>
            </c:dLbl>
            <c:dLbl>
              <c:idx val="4"/>
              <c:layout>
                <c:manualLayout>
                  <c:x val="0"/>
                  <c:y val="0.1473805144392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246-B0BD-70DC201AB37C}"/>
                </c:ext>
              </c:extLst>
            </c:dLbl>
            <c:dLbl>
              <c:idx val="5"/>
              <c:layout>
                <c:manualLayout>
                  <c:x val="7.8979522014211298E-17"/>
                  <c:y val="0.19077238979482"/>
                </c:manualLayout>
              </c:layout>
              <c:tx>
                <c:rich>
                  <a:bodyPr/>
                  <a:lstStyle/>
                  <a:p>
                    <a:fld id="{B8605159-959B-41C8-BF23-969F67A7CD4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1C-4246-B0BD-70DC201AB37C}"/>
                </c:ext>
              </c:extLst>
            </c:dLbl>
            <c:dLbl>
              <c:idx val="6"/>
              <c:layout>
                <c:manualLayout>
                  <c:x val="4.3080236941301598E-3"/>
                  <c:y val="0.161741808739087"/>
                </c:manualLayout>
              </c:layout>
              <c:tx>
                <c:rich>
                  <a:bodyPr/>
                  <a:lstStyle/>
                  <a:p>
                    <a:fld id="{BE823AB0-7CCD-4C4C-81FD-C7B9A43CBCFC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1C-4246-B0BD-70DC201A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RECOMENDARIA!$B$32:$I$32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RECOMENDARIA!$B$33:$I$33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1C-4246-B0BD-70DC201AB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'CONFORT-AMB'!$A$93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'CONFORT-AMB'!$B$93:$I$93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8C-B290-BA20B2E88FE5}"/>
            </c:ext>
          </c:extLst>
        </c:ser>
        <c:ser>
          <c:idx val="1"/>
          <c:order val="1"/>
          <c:tx>
            <c:strRef>
              <c:f>'CONFORT-AMB'!$A$94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'CONFORT-AMB'!$B$94:$I$94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8C-B290-BA20B2E88FE5}"/>
            </c:ext>
          </c:extLst>
        </c:ser>
        <c:ser>
          <c:idx val="2"/>
          <c:order val="2"/>
          <c:tx>
            <c:strRef>
              <c:f>'CONFORT-AMB'!$A$95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'CONFORT-AMB'!$B$95:$I$95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58C-B290-BA20B2E88FE5}"/>
            </c:ext>
          </c:extLst>
        </c:ser>
        <c:ser>
          <c:idx val="3"/>
          <c:order val="3"/>
          <c:tx>
            <c:strRef>
              <c:f>'CONFORT-AMB'!$A$96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'CONFORT-AMB'!$B$96:$I$96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9-458C-B290-BA20B2E88FE5}"/>
            </c:ext>
          </c:extLst>
        </c:ser>
        <c:ser>
          <c:idx val="4"/>
          <c:order val="4"/>
          <c:tx>
            <c:strRef>
              <c:f>'CONFORT-AMB'!$A$97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'CONFORT-AMB'!$B$97:$I$97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9-458C-B290-BA20B2E88FE5}"/>
            </c:ext>
          </c:extLst>
        </c:ser>
        <c:ser>
          <c:idx val="5"/>
          <c:order val="5"/>
          <c:tx>
            <c:strRef>
              <c:f>'CONFORT-AMB'!$A$98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'CONFORT-AMB'!$B$98:$I$98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0.97959183673469385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9-458C-B290-BA20B2E8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'CONFORT-HOS'!$A$96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'CONFORT-HOS'!$B$96:$G$96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7-4279-AEFF-27DA098C5A37}"/>
            </c:ext>
          </c:extLst>
        </c:ser>
        <c:ser>
          <c:idx val="1"/>
          <c:order val="1"/>
          <c:tx>
            <c:strRef>
              <c:f>'CONFORT-HOS'!$A$97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'CONFORT-HOS'!$B$97:$G$97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7-4279-AEFF-27DA098C5A37}"/>
            </c:ext>
          </c:extLst>
        </c:ser>
        <c:ser>
          <c:idx val="2"/>
          <c:order val="2"/>
          <c:tx>
            <c:strRef>
              <c:f>'CONFORT-HOS'!$A$98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'CONFORT-HOS'!$B$98:$G$98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7-4279-AEFF-27DA098C5A37}"/>
            </c:ext>
          </c:extLst>
        </c:ser>
        <c:ser>
          <c:idx val="3"/>
          <c:order val="3"/>
          <c:tx>
            <c:strRef>
              <c:f>'CONFORT-HOS'!$A$99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'CONFORT-HOS'!$B$99:$G$99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7-4279-AEFF-27DA098C5A37}"/>
            </c:ext>
          </c:extLst>
        </c:ser>
        <c:ser>
          <c:idx val="4"/>
          <c:order val="4"/>
          <c:tx>
            <c:strRef>
              <c:f>'CONFORT-HOS'!$A$100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'CONFORT-HOS'!$B$100:$G$100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0.8571428571428571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97-4279-AEFF-27DA098C5A37}"/>
            </c:ext>
          </c:extLst>
        </c:ser>
        <c:ser>
          <c:idx val="5"/>
          <c:order val="5"/>
          <c:tx>
            <c:strRef>
              <c:f>'CONFORT-HOS'!$A$101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'CONFORT-HOS'!$B$101:$G$101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97-4279-AEFF-27DA098C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'COMUN-AMBU'!$A$103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'COMUN-AMBU'!$B$103:$L$103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D96-A9F5-EF9CE0211981}"/>
            </c:ext>
          </c:extLst>
        </c:ser>
        <c:ser>
          <c:idx val="1"/>
          <c:order val="1"/>
          <c:tx>
            <c:strRef>
              <c:f>'COMUN-AMBU'!$A$104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'COMUN-AMBU'!$B$104:$L$104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A-4D96-A9F5-EF9CE0211981}"/>
            </c:ext>
          </c:extLst>
        </c:ser>
        <c:ser>
          <c:idx val="2"/>
          <c:order val="2"/>
          <c:tx>
            <c:strRef>
              <c:f>'COMUN-AMBU'!$A$105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'COMUN-AMBU'!$B$105:$L$105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A-4D96-A9F5-EF9CE0211981}"/>
            </c:ext>
          </c:extLst>
        </c:ser>
        <c:ser>
          <c:idx val="3"/>
          <c:order val="3"/>
          <c:tx>
            <c:strRef>
              <c:f>'COMUN-AMBU'!$A$106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'COMUN-AMBU'!$B$106:$L$106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A-4D96-A9F5-EF9CE0211981}"/>
            </c:ext>
          </c:extLst>
        </c:ser>
        <c:ser>
          <c:idx val="4"/>
          <c:order val="4"/>
          <c:tx>
            <c:strRef>
              <c:f>'COMUN-AMBU'!$A$107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'COMUN-AMBU'!$B$107:$L$107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0.76666666666666672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A-4D96-A9F5-EF9CE0211981}"/>
            </c:ext>
          </c:extLst>
        </c:ser>
        <c:ser>
          <c:idx val="5"/>
          <c:order val="5"/>
          <c:tx>
            <c:strRef>
              <c:f>'COMUN-AMBU'!$A$108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'COMUN-AMBU'!$B$108:$L$108</c:f>
              <c:numCache>
                <c:formatCode>0%</c:formatCode>
                <c:ptCount val="11"/>
                <c:pt idx="0">
                  <c:v>0.97959183673469385</c:v>
                </c:pt>
                <c:pt idx="1">
                  <c:v>0.97959183673469385</c:v>
                </c:pt>
                <c:pt idx="2">
                  <c:v>0.97959183673469385</c:v>
                </c:pt>
                <c:pt idx="3">
                  <c:v>0.97959183673469385</c:v>
                </c:pt>
                <c:pt idx="4">
                  <c:v>0.97959183673469385</c:v>
                </c:pt>
                <c:pt idx="5">
                  <c:v>0.97959183673469385</c:v>
                </c:pt>
                <c:pt idx="6">
                  <c:v>0.98979591836734693</c:v>
                </c:pt>
                <c:pt idx="7">
                  <c:v>0.97959183673469385</c:v>
                </c:pt>
                <c:pt idx="8">
                  <c:v>1</c:v>
                </c:pt>
                <c:pt idx="9">
                  <c:v>1</c:v>
                </c:pt>
                <c:pt idx="10">
                  <c:v>0.97959183673469385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1A-4D96-A9F5-EF9CE021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'COMUN-HOSP'!$A$97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'COMUN-HOSP'!$B$97:$G$97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0-4FBA-98A9-E635DC572DDC}"/>
            </c:ext>
          </c:extLst>
        </c:ser>
        <c:ser>
          <c:idx val="1"/>
          <c:order val="1"/>
          <c:tx>
            <c:strRef>
              <c:f>'COMUN-HOSP'!$A$98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'COMUN-HOSP'!$B$98:$G$98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0-4FBA-98A9-E635DC572DDC}"/>
            </c:ext>
          </c:extLst>
        </c:ser>
        <c:ser>
          <c:idx val="2"/>
          <c:order val="2"/>
          <c:tx>
            <c:strRef>
              <c:f>'COMUN-HOSP'!$A$99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'COMUN-HOSP'!$B$99:$G$99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0-4FBA-98A9-E635DC572DDC}"/>
            </c:ext>
          </c:extLst>
        </c:ser>
        <c:ser>
          <c:idx val="3"/>
          <c:order val="3"/>
          <c:tx>
            <c:strRef>
              <c:f>'COMUN-HOSP'!$A$100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'COMUN-HOSP'!$B$100:$G$100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0.8571428571428571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0-4FBA-98A9-E635DC572DDC}"/>
            </c:ext>
          </c:extLst>
        </c:ser>
        <c:ser>
          <c:idx val="4"/>
          <c:order val="4"/>
          <c:tx>
            <c:strRef>
              <c:f>'COMUN-HOSP'!$A$101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'COMUN-HOSP'!$B$101:$G$101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FBA-98A9-E635DC572DDC}"/>
            </c:ext>
          </c:extLst>
        </c:ser>
        <c:ser>
          <c:idx val="5"/>
          <c:order val="5"/>
          <c:tx>
            <c:strRef>
              <c:f>'COMUN-HOSP'!$A$102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'COMUN-HOSP'!$B$102:$G$102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0-4FBA-98A9-E635DC57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TIEMPO PROMEDIO DE ATENCIÓN</a:t>
            </a:r>
            <a:r>
              <a:rPr lang="es-CO" baseline="0"/>
              <a:t> EN LOS SERVICIOS AMBULATORIOS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'TIEMPO-AMB'!$T$6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'TIEMPO-AMB'!$U$6:$AK$6</c:f>
              <c:numCache>
                <c:formatCode>0%</c:formatCode>
                <c:ptCount val="17"/>
                <c:pt idx="0">
                  <c:v>0.56462585034013602</c:v>
                </c:pt>
                <c:pt idx="1">
                  <c:v>0.5714285714285714</c:v>
                </c:pt>
                <c:pt idx="2">
                  <c:v>0.61224489795918369</c:v>
                </c:pt>
                <c:pt idx="3">
                  <c:v>0.44897959183673469</c:v>
                </c:pt>
                <c:pt idx="4">
                  <c:v>0</c:v>
                </c:pt>
                <c:pt idx="5">
                  <c:v>0.33333333333333331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5.4421768707482991E-2</c:v>
                </c:pt>
                <c:pt idx="10">
                  <c:v>5.4421768707482991E-2</c:v>
                </c:pt>
                <c:pt idx="11">
                  <c:v>0</c:v>
                </c:pt>
                <c:pt idx="12">
                  <c:v>4.0816326530612242E-2</c:v>
                </c:pt>
                <c:pt idx="13">
                  <c:v>3.4013605442176869E-3</c:v>
                </c:pt>
                <c:pt idx="14">
                  <c:v>1.3605442176870748E-2</c:v>
                </c:pt>
                <c:pt idx="15">
                  <c:v>3.4013605442176869E-3</c:v>
                </c:pt>
                <c:pt idx="16">
                  <c:v>3.4013605442176869E-3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E-40FC-94D4-C2EEE7C3F2FF}"/>
            </c:ext>
          </c:extLst>
        </c:ser>
        <c:ser>
          <c:idx val="1"/>
          <c:order val="1"/>
          <c:tx>
            <c:strRef>
              <c:f>'TIEMPO-AMB'!$T$7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'TIEMPO-AMB'!$U$7:$AK$7</c:f>
              <c:numCache>
                <c:formatCode>0%</c:formatCode>
                <c:ptCount val="17"/>
                <c:pt idx="0">
                  <c:v>5.7823129251700682E-2</c:v>
                </c:pt>
                <c:pt idx="1">
                  <c:v>5.4421768707482991E-2</c:v>
                </c:pt>
                <c:pt idx="2">
                  <c:v>3.4013605442176874E-2</c:v>
                </c:pt>
                <c:pt idx="3">
                  <c:v>0.54421768707482998</c:v>
                </c:pt>
                <c:pt idx="4">
                  <c:v>0.54421768707482998</c:v>
                </c:pt>
                <c:pt idx="5">
                  <c:v>0.608843537414966</c:v>
                </c:pt>
                <c:pt idx="6">
                  <c:v>0.54421768707482998</c:v>
                </c:pt>
                <c:pt idx="7">
                  <c:v>0.54421768707482998</c:v>
                </c:pt>
                <c:pt idx="8">
                  <c:v>0.54421768707482998</c:v>
                </c:pt>
                <c:pt idx="9">
                  <c:v>0.68367346938775508</c:v>
                </c:pt>
                <c:pt idx="10">
                  <c:v>0.55782312925170063</c:v>
                </c:pt>
                <c:pt idx="11">
                  <c:v>0.54421768707482998</c:v>
                </c:pt>
                <c:pt idx="12">
                  <c:v>0.78231292517006801</c:v>
                </c:pt>
                <c:pt idx="13">
                  <c:v>0.54421768707482998</c:v>
                </c:pt>
                <c:pt idx="14">
                  <c:v>0.54421768707482998</c:v>
                </c:pt>
                <c:pt idx="15">
                  <c:v>0.54421768707482998</c:v>
                </c:pt>
                <c:pt idx="16">
                  <c:v>0.54421768707482998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E-40FC-94D4-C2EEE7C3F2FF}"/>
            </c:ext>
          </c:extLst>
        </c:ser>
        <c:ser>
          <c:idx val="2"/>
          <c:order val="2"/>
          <c:tx>
            <c:strRef>
              <c:f>'TIEMPO-AMB'!$T$8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'TIEMPO-AMB'!$U$8:$AK$8</c:f>
              <c:numCache>
                <c:formatCode>0%</c:formatCode>
                <c:ptCount val="17"/>
                <c:pt idx="0">
                  <c:v>6.8027210884353739E-3</c:v>
                </c:pt>
                <c:pt idx="1">
                  <c:v>2.0408163265306121E-2</c:v>
                </c:pt>
                <c:pt idx="2">
                  <c:v>0.34353741496598639</c:v>
                </c:pt>
                <c:pt idx="3">
                  <c:v>6.8027210884353739E-3</c:v>
                </c:pt>
                <c:pt idx="4">
                  <c:v>2.0408163265306121E-2</c:v>
                </c:pt>
                <c:pt idx="5">
                  <c:v>6.8027210884353739E-3</c:v>
                </c:pt>
                <c:pt idx="6">
                  <c:v>1.3605442176870748E-2</c:v>
                </c:pt>
                <c:pt idx="7">
                  <c:v>6.8027210884353739E-3</c:v>
                </c:pt>
                <c:pt idx="8">
                  <c:v>1.020408163265306E-2</c:v>
                </c:pt>
                <c:pt idx="9">
                  <c:v>7.1428571428571425E-2</c:v>
                </c:pt>
                <c:pt idx="10">
                  <c:v>0.37755102040816324</c:v>
                </c:pt>
                <c:pt idx="11">
                  <c:v>3.4013605442176869E-3</c:v>
                </c:pt>
                <c:pt idx="12">
                  <c:v>0.16666666666666666</c:v>
                </c:pt>
                <c:pt idx="13">
                  <c:v>1.020408163265306E-2</c:v>
                </c:pt>
                <c:pt idx="14">
                  <c:v>6.8027210884353739E-3</c:v>
                </c:pt>
                <c:pt idx="15">
                  <c:v>6.8027210884353739E-3</c:v>
                </c:pt>
                <c:pt idx="16">
                  <c:v>6.8027210884353739E-3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E-40FC-94D4-C2EEE7C3F2FF}"/>
            </c:ext>
          </c:extLst>
        </c:ser>
        <c:ser>
          <c:idx val="3"/>
          <c:order val="3"/>
          <c:tx>
            <c:strRef>
              <c:f>'TIEMPO-AMB'!$T$9</c:f>
              <c:strCache>
                <c:ptCount val="1"/>
                <c:pt idx="0">
                  <c:v>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'TIEMPO-AMB'!$U$9:$AK$9</c:f>
              <c:numCache>
                <c:formatCode>0%</c:formatCode>
                <c:ptCount val="17"/>
                <c:pt idx="0">
                  <c:v>0.37074829931972791</c:v>
                </c:pt>
                <c:pt idx="1">
                  <c:v>0.35374149659863946</c:v>
                </c:pt>
                <c:pt idx="2">
                  <c:v>1.020408163265306E-2</c:v>
                </c:pt>
                <c:pt idx="3">
                  <c:v>0</c:v>
                </c:pt>
                <c:pt idx="4">
                  <c:v>0.43537414965986393</c:v>
                </c:pt>
                <c:pt idx="5">
                  <c:v>5.1020408163265307E-2</c:v>
                </c:pt>
                <c:pt idx="6">
                  <c:v>0.44217687074829931</c:v>
                </c:pt>
                <c:pt idx="7">
                  <c:v>0.44897959183673469</c:v>
                </c:pt>
                <c:pt idx="8">
                  <c:v>0.445578231292517</c:v>
                </c:pt>
                <c:pt idx="9">
                  <c:v>0.19047619047619047</c:v>
                </c:pt>
                <c:pt idx="10">
                  <c:v>1.020408163265306E-2</c:v>
                </c:pt>
                <c:pt idx="11">
                  <c:v>0.45238095238095238</c:v>
                </c:pt>
                <c:pt idx="12">
                  <c:v>1.020408163265306E-2</c:v>
                </c:pt>
                <c:pt idx="13">
                  <c:v>0.44217687074829931</c:v>
                </c:pt>
                <c:pt idx="14">
                  <c:v>0.43537414965986393</c:v>
                </c:pt>
                <c:pt idx="15">
                  <c:v>0.445578231292517</c:v>
                </c:pt>
                <c:pt idx="16">
                  <c:v>0.445578231292517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E-40FC-94D4-C2EEE7C3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50911"/>
        <c:axId val="751296271"/>
      </c:barChart>
      <c:catAx>
        <c:axId val="63785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296271"/>
        <c:crosses val="autoZero"/>
        <c:auto val="1"/>
        <c:lblAlgn val="ctr"/>
        <c:lblOffset val="100"/>
        <c:noMultiLvlLbl val="0"/>
      </c:catAx>
      <c:valAx>
        <c:axId val="75129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7850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CANALES!$K$28:$O$28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A-4967-A32C-CB587F36BAB5}"/>
            </c:ext>
          </c:extLst>
        </c:ser>
        <c:ser>
          <c:idx val="1"/>
          <c:order val="1"/>
          <c:tx>
            <c:strRef>
              <c:f>CANALES!$J$29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CANALES!$K$29:$O$29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A-4967-A32C-CB587F36B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TIEMPO PROMEDIO PARA LA ATENCIÓN EN LOS SERVICIOS HOSPITALARIOS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'TIEMPO-HOS'!$K$6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'TIEMPO-HOS'!$L$6:$S$6</c:f>
              <c:numCache>
                <c:formatCode>0%</c:formatCode>
                <c:ptCount val="8"/>
                <c:pt idx="0">
                  <c:v>0.30612244897959184</c:v>
                </c:pt>
                <c:pt idx="1">
                  <c:v>0.46938775510204084</c:v>
                </c:pt>
                <c:pt idx="2">
                  <c:v>0</c:v>
                </c:pt>
                <c:pt idx="3">
                  <c:v>0</c:v>
                </c:pt>
                <c:pt idx="4">
                  <c:v>0.32653061224489793</c:v>
                </c:pt>
                <c:pt idx="5">
                  <c:v>0.2857142857142857</c:v>
                </c:pt>
                <c:pt idx="6">
                  <c:v>0.22448979591836735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986-8639-1EC1EEB70C45}"/>
            </c:ext>
          </c:extLst>
        </c:ser>
        <c:ser>
          <c:idx val="1"/>
          <c:order val="1"/>
          <c:tx>
            <c:strRef>
              <c:f>'TIEMPO-HOS'!$K$7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'TIEMPO-HOS'!$L$7:$S$7</c:f>
              <c:numCache>
                <c:formatCode>0%</c:formatCode>
                <c:ptCount val="8"/>
                <c:pt idx="0">
                  <c:v>0.65306122448979587</c:v>
                </c:pt>
                <c:pt idx="1">
                  <c:v>0.48979591836734693</c:v>
                </c:pt>
                <c:pt idx="2">
                  <c:v>4.0816326530612242E-2</c:v>
                </c:pt>
                <c:pt idx="3">
                  <c:v>0</c:v>
                </c:pt>
                <c:pt idx="4">
                  <c:v>0.36734693877551022</c:v>
                </c:pt>
                <c:pt idx="5">
                  <c:v>0.40816326530612246</c:v>
                </c:pt>
                <c:pt idx="6">
                  <c:v>0.2857142857142857</c:v>
                </c:pt>
                <c:pt idx="7">
                  <c:v>6.1224489795918366E-2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986-8639-1EC1EEB70C45}"/>
            </c:ext>
          </c:extLst>
        </c:ser>
        <c:ser>
          <c:idx val="2"/>
          <c:order val="2"/>
          <c:tx>
            <c:strRef>
              <c:f>'TIEMPO-HOS'!$K$8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'TIEMPO-HOS'!$L$8:$S$8</c:f>
              <c:numCache>
                <c:formatCode>0%</c:formatCode>
                <c:ptCount val="8"/>
                <c:pt idx="0">
                  <c:v>4.0816326530612242E-2</c:v>
                </c:pt>
                <c:pt idx="1">
                  <c:v>4.0816326530612242E-2</c:v>
                </c:pt>
                <c:pt idx="2">
                  <c:v>0</c:v>
                </c:pt>
                <c:pt idx="3">
                  <c:v>4.0816326530612242E-2</c:v>
                </c:pt>
                <c:pt idx="4">
                  <c:v>2.0408163265306121E-2</c:v>
                </c:pt>
                <c:pt idx="5">
                  <c:v>8.1632653061224483E-2</c:v>
                </c:pt>
                <c:pt idx="6">
                  <c:v>4.0816326530612242E-2</c:v>
                </c:pt>
                <c:pt idx="7">
                  <c:v>2.0408163265306121E-2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C-4986-8639-1EC1EEB70C45}"/>
            </c:ext>
          </c:extLst>
        </c:ser>
        <c:ser>
          <c:idx val="3"/>
          <c:order val="3"/>
          <c:tx>
            <c:strRef>
              <c:f>'TIEMPO-HOS'!$K$9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'TIEMPO-HOS'!$L$9:$S$9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0.95918367346938771</c:v>
                </c:pt>
                <c:pt idx="3">
                  <c:v>0.95918367346938771</c:v>
                </c:pt>
                <c:pt idx="4">
                  <c:v>0.2857142857142857</c:v>
                </c:pt>
                <c:pt idx="5">
                  <c:v>0.22448979591836735</c:v>
                </c:pt>
                <c:pt idx="6">
                  <c:v>0.44897959183673469</c:v>
                </c:pt>
                <c:pt idx="7">
                  <c:v>0.91836734693877553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C-4986-8639-1EC1EEB7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19951"/>
        <c:axId val="1739583103"/>
      </c:barChart>
      <c:catAx>
        <c:axId val="11041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83103"/>
        <c:crosses val="autoZero"/>
        <c:auto val="1"/>
        <c:lblAlgn val="ctr"/>
        <c:lblOffset val="100"/>
        <c:noMultiLvlLbl val="0"/>
      </c:catAx>
      <c:valAx>
        <c:axId val="173958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19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AMBULATORIOS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D'!$A$14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D'!$B$14:$G$14</c:f>
              <c:numCache>
                <c:formatCode>0%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1EB-BC2A-FFAB5CFA1657}"/>
            </c:ext>
          </c:extLst>
        </c:ser>
        <c:ser>
          <c:idx val="1"/>
          <c:order val="1"/>
          <c:tx>
            <c:strRef>
              <c:f>'DERECHOS Y D'!$A$15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2-41EB-BC2A-FFAB5CFA16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INFORMACION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SOBRE DERECHOS Y DEBERES A LOS PACIENTES DURANTE LA ATENCIÓN EN LOS SERVICIOS HOSPITALARIOS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0.8571428571428571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E-45E5-9156-6D6DAF1A14BD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E-45E5-9156-6D6DAF1A1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DE HOSPITALIZACIÓN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0.8571428571428571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0F8-97C5-59F273ED76D0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0-40F8-97C5-59F273ED76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3C-434E-AD8E-DE895A61687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C-434E-AD8E-DE895A61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EN LOS SERVICOS AMBULATOIOS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CANALES!$K$5:$P$5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2-47F4-980D-3C75755F79E5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CANALES!$K$6:$P$6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2-47F4-980D-3C75755F79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AMBULATORIOS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3B06-42E7-9E30-1CAEC816B1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3B06-42E7-9E30-1CAEC816B1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RESIDUOS!$K$14:$K$15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RESIDUOS!$L$14:$L$15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6-42E7-9E30-1CAEC816B1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HOSPITALARIOS 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BF93-49BD-BB7C-C697BF730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BF93-49BD-BB7C-C697BF7308E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RESIDUOS!$K$36:$K$37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RESIDUOS!$L$36:$L$37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9BD-BB7C-C697BF7308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INFORMACIÓN SOBRE RESIDUOS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RESIDUOS!$K$28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4-4272-A94B-7521B8CE12A2}"/>
            </c:ext>
          </c:extLst>
        </c:ser>
        <c:ser>
          <c:idx val="1"/>
          <c:order val="1"/>
          <c:tx>
            <c:strRef>
              <c:f>RESIDUOS!$K$29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A4-4272-A94B-7521B8CE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91151"/>
        <c:axId val="1739593503"/>
      </c:barChart>
      <c:catAx>
        <c:axId val="110419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93503"/>
        <c:crosses val="autoZero"/>
        <c:auto val="1"/>
        <c:lblAlgn val="ctr"/>
        <c:lblOffset val="100"/>
        <c:noMultiLvlLbl val="0"/>
      </c:catAx>
      <c:valAx>
        <c:axId val="173959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91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CANALES!$K$5:$O$5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B-4330-9BD5-1E44E279B2A9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CANALES!$K$6:$O$6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330-9BD5-1E44E279B2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AMBULATORIOS 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153-440D-9FE8-A27D434C93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153-440D-9FE8-A27D434C93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CANALES!$J$14:$J$15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CANALES!$K$14:$K$15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40D-9FE8-A27D434C9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119-8421-3686ABB81824}"/>
            </c:ext>
          </c:extLst>
        </c:ser>
        <c:ser>
          <c:idx val="1"/>
          <c:order val="1"/>
          <c:tx>
            <c:strRef>
              <c:f>CANALES!$K$29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119-8421-3686ABB81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DE HOSPITALIZACIÓN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CANALES!$K$35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03E-4568-B0CD-85DBAA18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03E-4568-B0CD-85DBAA183DD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CANALES!$J$36:$J$37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CANALES!$K$36:$K$37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E-4568-B0CD-85DBAA183D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4-4099-887E-59BA057CB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COMETIDAS</a:t>
            </a:r>
            <a:r>
              <a:rPr lang="es-CO" b="1" baseline="0"/>
              <a:t> EN LOS SERVICOS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EVENTOS!$B$29:$H$29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6-41B8-AA3B-95D8811E26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AMBULATORIOS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'!$A$21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'!$B$20:$G$20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'SATISFACCIÓN '!$B$21:$G$21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929-B903-04BFCD8D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MECIÓN DE LOS DERECHOS</a:t>
            </a:r>
            <a:r>
              <a:rPr lang="en-US" sz="1200" b="1" baseline="0"/>
              <a:t> Y DEBERES A LOS PACIENTES ATENDIDOS DURANTE EL MES DE JULIO DE 2023</a:t>
            </a:r>
            <a:endParaRPr lang="en-US" sz="1200" b="1"/>
          </a:p>
        </c:rich>
      </c:tx>
      <c:layout>
        <c:manualLayout>
          <c:xMode val="edge"/>
          <c:yMode val="edge"/>
          <c:x val="0.15251723287073199"/>
          <c:y val="2.92222285285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E14-414F-A9A6-8820E689B0E2}"/>
              </c:ext>
            </c:extLst>
          </c:dPt>
          <c:dLbls>
            <c:dLbl>
              <c:idx val="0"/>
              <c:layout>
                <c:manualLayout>
                  <c:x val="7.5329551961177696E-3"/>
                  <c:y val="0.20455559969995399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14F-A9A6-8820E689B0E2}"/>
                </c:ext>
              </c:extLst>
            </c:dLbl>
            <c:dLbl>
              <c:idx val="1"/>
              <c:layout>
                <c:manualLayout>
                  <c:x val="9.0431051118119804E-2"/>
                  <c:y val="0.118301321826474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46001639903798"/>
                      <c:h val="0.11693381409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14-414F-A9A6-8820E689B0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  Y D'!$A$34:$A$35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'D  Y D'!$B$34:$B$35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4-414F-A9A6-8820E689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A LOS PACIENTES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 Y D'!$B$14:$G$14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  Y D'!$B$15:$G$15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5-4F71-A229-813D4F6EC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DE LOS PACIENTES  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  Y D'!$B$28:$H$28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  Y D'!$B$29:$H$29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FF4-A115-3E1D1B55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A-4BE5-8DEA-66D77128C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INFORMACIÓN SOBRE LAS RUTAS DE EVACUACIÓN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RUTAS!$B$28:$H$28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RUTAS!$B$29:$H$29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378-9E3A-0164E7B66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DE HOSPITALIZACIÓN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'!$A$34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'!$B$33:$I$33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'SATISFACCIÓN '!$B$34:$I$34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7-4F88-964F-B1BEE18C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CARACTERIZACIÓN POR RANGO DE EDAD POBLACIÓN ATENDIDA  EN LOS SERVIVIOS AMBULATORIOS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EDAD!$E$6:$E$14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EDAD!$F$6:$F$14</c:f>
              <c:numCache>
                <c:formatCode>0%</c:formatCode>
                <c:ptCount val="9"/>
                <c:pt idx="0">
                  <c:v>0</c:v>
                </c:pt>
                <c:pt idx="1">
                  <c:v>3.4013605442176874E-2</c:v>
                </c:pt>
                <c:pt idx="2">
                  <c:v>1.3605442176870748E-2</c:v>
                </c:pt>
                <c:pt idx="3">
                  <c:v>2.3809523809523808E-2</c:v>
                </c:pt>
                <c:pt idx="4">
                  <c:v>7.4829931972789115E-2</c:v>
                </c:pt>
                <c:pt idx="5">
                  <c:v>0</c:v>
                </c:pt>
                <c:pt idx="6">
                  <c:v>0.10204081632653061</c:v>
                </c:pt>
                <c:pt idx="7">
                  <c:v>8.8435374149659865E-2</c:v>
                </c:pt>
                <c:pt idx="8">
                  <c:v>0.66326530612244894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8-4C3A-9A40-28DF8423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05424"/>
        <c:axId val="1433699776"/>
      </c:barChart>
      <c:catAx>
        <c:axId val="13182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3699776"/>
        <c:crosses val="autoZero"/>
        <c:auto val="1"/>
        <c:lblAlgn val="ctr"/>
        <c:lblOffset val="100"/>
        <c:noMultiLvlLbl val="0"/>
      </c:catAx>
      <c:valAx>
        <c:axId val="1433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8205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RANGO DE EDAD POBLACIÓN ATENDIDA  EN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EDAD!$E$25:$E$33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EDAD!$F$25:$F$33</c:f>
              <c:numCache>
                <c:formatCode>0%</c:formatCode>
                <c:ptCount val="9"/>
                <c:pt idx="0">
                  <c:v>4.0816326530612242E-2</c:v>
                </c:pt>
                <c:pt idx="1">
                  <c:v>2.0408163265306121E-2</c:v>
                </c:pt>
                <c:pt idx="2">
                  <c:v>8.1632653061224483E-2</c:v>
                </c:pt>
                <c:pt idx="3">
                  <c:v>0.12244897959183673</c:v>
                </c:pt>
                <c:pt idx="4">
                  <c:v>4.0816326530612242E-2</c:v>
                </c:pt>
                <c:pt idx="5">
                  <c:v>4.0816326530612242E-2</c:v>
                </c:pt>
                <c:pt idx="6">
                  <c:v>2.0408163265306121E-2</c:v>
                </c:pt>
                <c:pt idx="7">
                  <c:v>8.1632653061224483E-2</c:v>
                </c:pt>
                <c:pt idx="8">
                  <c:v>0.55102040816326525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67-9D1C-000BECC62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744352"/>
        <c:axId val="1360243424"/>
      </c:barChart>
      <c:catAx>
        <c:axId val="16427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43424"/>
        <c:crosses val="autoZero"/>
        <c:auto val="1"/>
        <c:lblAlgn val="ctr"/>
        <c:lblOffset val="100"/>
        <c:noMultiLvlLbl val="0"/>
      </c:catAx>
      <c:valAx>
        <c:axId val="13602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2744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Rango de Edad,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0</c:v>
                </c:pt>
                <c:pt idx="1">
                  <c:v>3.4013605442176874E-2</c:v>
                </c:pt>
                <c:pt idx="2">
                  <c:v>1.3605442176870748E-2</c:v>
                </c:pt>
                <c:pt idx="3">
                  <c:v>2.3809523809523808E-2</c:v>
                </c:pt>
                <c:pt idx="4">
                  <c:v>7.4829931972789115E-2</c:v>
                </c:pt>
                <c:pt idx="5">
                  <c:v>0</c:v>
                </c:pt>
                <c:pt idx="6">
                  <c:v>0.10204081632653061</c:v>
                </c:pt>
                <c:pt idx="7">
                  <c:v>8.8435374149659865E-2</c:v>
                </c:pt>
                <c:pt idx="8">
                  <c:v>0.66326530612244894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711-AA9D-1490E3D226A8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4.0816326530612242E-2</c:v>
                </c:pt>
                <c:pt idx="1">
                  <c:v>2.0408163265306121E-2</c:v>
                </c:pt>
                <c:pt idx="2">
                  <c:v>8.1632653061224483E-2</c:v>
                </c:pt>
                <c:pt idx="3">
                  <c:v>0.12244897959183673</c:v>
                </c:pt>
                <c:pt idx="4">
                  <c:v>4.0816326530612242E-2</c:v>
                </c:pt>
                <c:pt idx="5">
                  <c:v>4.0816326530612242E-2</c:v>
                </c:pt>
                <c:pt idx="6">
                  <c:v>2.0408163265306121E-2</c:v>
                </c:pt>
                <c:pt idx="7">
                  <c:v>8.1632653061224483E-2</c:v>
                </c:pt>
                <c:pt idx="8">
                  <c:v>0.55102040816326525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6-4711-AA9D-1490E3D2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34</xdr:row>
      <xdr:rowOff>109537</xdr:rowOff>
    </xdr:from>
    <xdr:to>
      <xdr:col>12</xdr:col>
      <xdr:colOff>0</xdr:colOff>
      <xdr:row>48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504824</xdr:colOff>
      <xdr:row>5</xdr:row>
      <xdr:rowOff>128587</xdr:rowOff>
    </xdr:from>
    <xdr:to>
      <xdr:col>17</xdr:col>
      <xdr:colOff>628649</xdr:colOff>
      <xdr:row>17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19</xdr:row>
      <xdr:rowOff>161925</xdr:rowOff>
    </xdr:from>
    <xdr:to>
      <xdr:col>18</xdr:col>
      <xdr:colOff>533400</xdr:colOff>
      <xdr:row>33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14</xdr:col>
      <xdr:colOff>523874</xdr:colOff>
      <xdr:row>105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100</xdr:row>
      <xdr:rowOff>87239</xdr:rowOff>
    </xdr:from>
    <xdr:to>
      <xdr:col>14</xdr:col>
      <xdr:colOff>447675</xdr:colOff>
      <xdr:row>118</xdr:row>
      <xdr:rowOff>22296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9</xdr:col>
      <xdr:colOff>0</xdr:colOff>
      <xdr:row>119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8</xdr:col>
      <xdr:colOff>647700</xdr:colOff>
      <xdr:row>122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110</xdr:row>
      <xdr:rowOff>1</xdr:rowOff>
    </xdr:from>
    <xdr:to>
      <xdr:col>11</xdr:col>
      <xdr:colOff>466725</xdr:colOff>
      <xdr:row>129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8</xdr:col>
      <xdr:colOff>647700</xdr:colOff>
      <xdr:row>123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476249</xdr:colOff>
      <xdr:row>2</xdr:row>
      <xdr:rowOff>109536</xdr:rowOff>
    </xdr:from>
    <xdr:to>
      <xdr:col>50</xdr:col>
      <xdr:colOff>523875</xdr:colOff>
      <xdr:row>14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24</xdr:row>
      <xdr:rowOff>95250</xdr:rowOff>
    </xdr:from>
    <xdr:to>
      <xdr:col>21</xdr:col>
      <xdr:colOff>4763</xdr:colOff>
      <xdr:row>37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66674</xdr:colOff>
      <xdr:row>1</xdr:row>
      <xdr:rowOff>52387</xdr:rowOff>
    </xdr:from>
    <xdr:to>
      <xdr:col>29</xdr:col>
      <xdr:colOff>190499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728661</xdr:colOff>
      <xdr:row>3</xdr:row>
      <xdr:rowOff>290512</xdr:rowOff>
    </xdr:from>
    <xdr:to>
      <xdr:col>17</xdr:col>
      <xdr:colOff>485774</xdr:colOff>
      <xdr:row>19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561975</xdr:colOff>
      <xdr:row>25</xdr:row>
      <xdr:rowOff>95250</xdr:rowOff>
    </xdr:from>
    <xdr:to>
      <xdr:col>28</xdr:col>
      <xdr:colOff>357188</xdr:colOff>
      <xdr:row>40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34</xdr:row>
      <xdr:rowOff>152400</xdr:rowOff>
    </xdr:from>
    <xdr:to>
      <xdr:col>17</xdr:col>
      <xdr:colOff>242888</xdr:colOff>
      <xdr:row>51</xdr:row>
      <xdr:rowOff>109538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547686</xdr:colOff>
      <xdr:row>0</xdr:row>
      <xdr:rowOff>128587</xdr:rowOff>
    </xdr:from>
    <xdr:to>
      <xdr:col>26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</xdr:row>
      <xdr:rowOff>90487</xdr:rowOff>
    </xdr:from>
    <xdr:to>
      <xdr:col>6</xdr:col>
      <xdr:colOff>571500</xdr:colOff>
      <xdr:row>21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31</xdr:row>
      <xdr:rowOff>95250</xdr:rowOff>
    </xdr:from>
    <xdr:to>
      <xdr:col>17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533400</xdr:colOff>
      <xdr:row>21</xdr:row>
      <xdr:rowOff>52387</xdr:rowOff>
    </xdr:from>
    <xdr:to>
      <xdr:col>26</xdr:col>
      <xdr:colOff>533400</xdr:colOff>
      <xdr:row>34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36</xdr:row>
      <xdr:rowOff>14287</xdr:rowOff>
    </xdr:from>
    <xdr:to>
      <xdr:col>8</xdr:col>
      <xdr:colOff>895351</xdr:colOff>
      <xdr:row>48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245745</xdr:colOff>
      <xdr:row>6</xdr:row>
      <xdr:rowOff>90487</xdr:rowOff>
    </xdr:from>
    <xdr:to>
      <xdr:col>17</xdr:col>
      <xdr:colOff>293370</xdr:colOff>
      <xdr:row>20</xdr:row>
      <xdr:rowOff>230505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352424</xdr:colOff>
      <xdr:row>31</xdr:row>
      <xdr:rowOff>0</xdr:rowOff>
    </xdr:from>
    <xdr:to>
      <xdr:col>20</xdr:col>
      <xdr:colOff>676275</xdr:colOff>
      <xdr:row>40</xdr:row>
      <xdr:rowOff>100013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547686</xdr:colOff>
      <xdr:row>0</xdr:row>
      <xdr:rowOff>128587</xdr:rowOff>
    </xdr:from>
    <xdr:to>
      <xdr:col>25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376237</xdr:colOff>
      <xdr:row>8</xdr:row>
      <xdr:rowOff>100012</xdr:rowOff>
    </xdr:from>
    <xdr:to>
      <xdr:col>16</xdr:col>
      <xdr:colOff>295275</xdr:colOff>
      <xdr:row>21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419100</xdr:colOff>
      <xdr:row>19</xdr:row>
      <xdr:rowOff>123825</xdr:rowOff>
    </xdr:from>
    <xdr:to>
      <xdr:col>27</xdr:col>
      <xdr:colOff>214313</xdr:colOff>
      <xdr:row>32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457200</xdr:colOff>
      <xdr:row>31</xdr:row>
      <xdr:rowOff>95250</xdr:rowOff>
    </xdr:from>
    <xdr:to>
      <xdr:col>16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638174</xdr:colOff>
      <xdr:row>1</xdr:row>
      <xdr:rowOff>23812</xdr:rowOff>
    </xdr:from>
    <xdr:to>
      <xdr:col>17</xdr:col>
      <xdr:colOff>238125</xdr:colOff>
      <xdr:row>11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30</xdr:row>
      <xdr:rowOff>109537</xdr:rowOff>
    </xdr:from>
    <xdr:to>
      <xdr:col>9</xdr:col>
      <xdr:colOff>0</xdr:colOff>
      <xdr:row>44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180974</xdr:colOff>
      <xdr:row>3</xdr:row>
      <xdr:rowOff>166687</xdr:rowOff>
    </xdr:from>
    <xdr:to>
      <xdr:col>16</xdr:col>
      <xdr:colOff>142875</xdr:colOff>
      <xdr:row>14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17</xdr:row>
      <xdr:rowOff>152400</xdr:rowOff>
    </xdr:from>
    <xdr:to>
      <xdr:col>17</xdr:col>
      <xdr:colOff>66675</xdr:colOff>
      <xdr:row>29</xdr:row>
      <xdr:rowOff>14288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847724</xdr:colOff>
      <xdr:row>5</xdr:row>
      <xdr:rowOff>166687</xdr:rowOff>
    </xdr:from>
    <xdr:to>
      <xdr:col>17</xdr:col>
      <xdr:colOff>447675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21</xdr:row>
      <xdr:rowOff>0</xdr:rowOff>
    </xdr:from>
    <xdr:to>
      <xdr:col>13</xdr:col>
      <xdr:colOff>280989</xdr:colOff>
      <xdr:row>38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40</xdr:row>
      <xdr:rowOff>90487</xdr:rowOff>
    </xdr:from>
    <xdr:to>
      <xdr:col>11</xdr:col>
      <xdr:colOff>290512</xdr:colOff>
      <xdr:row>54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38100</xdr:rowOff>
    </xdr:from>
    <xdr:to>
      <xdr:col>12</xdr:col>
      <xdr:colOff>19050</xdr:colOff>
      <xdr:row>11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761999</xdr:colOff>
      <xdr:row>13</xdr:row>
      <xdr:rowOff>0</xdr:rowOff>
    </xdr:from>
    <xdr:to>
      <xdr:col>12</xdr:col>
      <xdr:colOff>9525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26</xdr:row>
      <xdr:rowOff>9525</xdr:rowOff>
    </xdr:from>
    <xdr:to>
      <xdr:col>10</xdr:col>
      <xdr:colOff>400050</xdr:colOff>
      <xdr:row>40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16</xdr:row>
      <xdr:rowOff>0</xdr:rowOff>
    </xdr:from>
    <xdr:to>
      <xdr:col>13</xdr:col>
      <xdr:colOff>280989</xdr:colOff>
      <xdr:row>28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32</xdr:row>
      <xdr:rowOff>61912</xdr:rowOff>
    </xdr:from>
    <xdr:to>
      <xdr:col>13</xdr:col>
      <xdr:colOff>247650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14</xdr:col>
      <xdr:colOff>695325</xdr:colOff>
      <xdr:row>27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31</xdr:row>
      <xdr:rowOff>1</xdr:rowOff>
    </xdr:from>
    <xdr:to>
      <xdr:col>13</xdr:col>
      <xdr:colOff>280989</xdr:colOff>
      <xdr:row>54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61</xdr:row>
      <xdr:rowOff>90487</xdr:rowOff>
    </xdr:from>
    <xdr:to>
      <xdr:col>11</xdr:col>
      <xdr:colOff>290512</xdr:colOff>
      <xdr:row>75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38099</xdr:rowOff>
    </xdr:from>
    <xdr:to>
      <xdr:col>15</xdr:col>
      <xdr:colOff>85725</xdr:colOff>
      <xdr:row>14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15</xdr:row>
      <xdr:rowOff>0</xdr:rowOff>
    </xdr:from>
    <xdr:to>
      <xdr:col>13</xdr:col>
      <xdr:colOff>552449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290511</xdr:colOff>
      <xdr:row>28</xdr:row>
      <xdr:rowOff>90487</xdr:rowOff>
    </xdr:from>
    <xdr:to>
      <xdr:col>12</xdr:col>
      <xdr:colOff>28574</xdr:colOff>
      <xdr:row>42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2</xdr:row>
      <xdr:rowOff>38100</xdr:rowOff>
    </xdr:from>
    <xdr:to>
      <xdr:col>13</xdr:col>
      <xdr:colOff>276225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19</xdr:row>
      <xdr:rowOff>0</xdr:rowOff>
    </xdr:from>
    <xdr:to>
      <xdr:col>13</xdr:col>
      <xdr:colOff>457199</xdr:colOff>
      <xdr:row>34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442911</xdr:colOff>
      <xdr:row>2</xdr:row>
      <xdr:rowOff>38100</xdr:rowOff>
    </xdr:from>
    <xdr:to>
      <xdr:col>14</xdr:col>
      <xdr:colOff>466725</xdr:colOff>
      <xdr:row>17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290511</xdr:colOff>
      <xdr:row>36</xdr:row>
      <xdr:rowOff>90487</xdr:rowOff>
    </xdr:from>
    <xdr:to>
      <xdr:col>16</xdr:col>
      <xdr:colOff>485775</xdr:colOff>
      <xdr:row>50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142875</xdr:rowOff>
    </xdr:from>
    <xdr:to>
      <xdr:col>13</xdr:col>
      <xdr:colOff>285750</xdr:colOff>
      <xdr:row>11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12</xdr:row>
      <xdr:rowOff>142875</xdr:rowOff>
    </xdr:from>
    <xdr:to>
      <xdr:col>13</xdr:col>
      <xdr:colOff>0</xdr:colOff>
      <xdr:row>24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S1429"/>
  <sheetViews>
    <sheetView zoomScale="98" zoomScaleNormal="98" workbookViewId="0">
      <selection activeCell="A5" sqref="A5"/>
    </sheetView>
  </sheetViews>
  <sheetFormatPr baseColWidth="10" defaultColWidth="11" defaultRowHeight="14.4"/>
  <cols>
    <col min="1" max="1" width="16.88671875" style="47" bestFit="1" customWidth="1"/>
    <col min="2" max="2" width="11.33203125" style="25"/>
    <col min="5" max="5" width="22.6640625" customWidth="1"/>
    <col min="7" max="7" width="12.109375" customWidth="1"/>
    <col min="9" max="9" width="24.88671875" customWidth="1"/>
    <col min="11" max="11" width="13.88671875" style="25" customWidth="1"/>
    <col min="13" max="13" width="57.6640625" customWidth="1"/>
    <col min="33" max="33" width="13.6640625" customWidth="1"/>
    <col min="34" max="34" width="12.88671875" customWidth="1"/>
    <col min="38" max="38" width="13" customWidth="1"/>
    <col min="41" max="41" width="12.6640625" customWidth="1"/>
    <col min="44" max="44" width="14.109375" customWidth="1"/>
    <col min="48" max="48" width="13" customWidth="1"/>
    <col min="55" max="55" width="12.33203125" customWidth="1"/>
    <col min="58" max="58" width="12.33203125" customWidth="1"/>
    <col min="63" max="63" width="14.88671875" customWidth="1"/>
    <col min="65" max="65" width="30.6640625" customWidth="1"/>
    <col min="67" max="67" width="14.33203125" style="25" customWidth="1"/>
    <col min="68" max="68" width="14" customWidth="1"/>
    <col min="69" max="69" width="36.6640625" style="25" customWidth="1"/>
    <col min="70" max="70" width="19.88671875" customWidth="1"/>
    <col min="71" max="71" width="15.88671875" style="25" customWidth="1"/>
    <col min="72" max="72" width="14.6640625" customWidth="1"/>
    <col min="74" max="74" width="11.33203125" style="25"/>
    <col min="75" max="75" width="15.6640625" customWidth="1"/>
    <col min="76" max="76" width="14.109375" customWidth="1"/>
    <col min="77" max="77" width="19" style="25" customWidth="1"/>
    <col min="78" max="78" width="20" style="25" customWidth="1"/>
  </cols>
  <sheetData>
    <row r="1" spans="1:97" ht="39" customHeight="1">
      <c r="A1" s="128" t="s">
        <v>220</v>
      </c>
      <c r="B1" s="128"/>
      <c r="C1" s="128"/>
      <c r="D1" s="128"/>
      <c r="E1" s="128"/>
      <c r="F1" s="128"/>
      <c r="G1" s="128"/>
      <c r="H1" s="128"/>
      <c r="I1" s="129" t="s">
        <v>221</v>
      </c>
      <c r="J1" s="129"/>
      <c r="K1" s="129"/>
      <c r="L1" s="129"/>
      <c r="M1" s="122" t="s">
        <v>169</v>
      </c>
      <c r="N1" s="130" t="s">
        <v>222</v>
      </c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1" t="s">
        <v>223</v>
      </c>
      <c r="AD1" s="131"/>
      <c r="AE1" s="131"/>
      <c r="AF1" s="131"/>
      <c r="AG1" s="131"/>
      <c r="AH1" s="131"/>
      <c r="AI1" s="131"/>
      <c r="AJ1" s="131"/>
      <c r="AK1" s="132" t="s">
        <v>224</v>
      </c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41" t="s">
        <v>225</v>
      </c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24" t="s">
        <v>226</v>
      </c>
      <c r="BN1" s="26"/>
      <c r="BO1" s="142" t="s">
        <v>227</v>
      </c>
      <c r="BP1" s="142"/>
      <c r="BQ1" s="126" t="s">
        <v>228</v>
      </c>
      <c r="BR1" s="70" t="s">
        <v>229</v>
      </c>
      <c r="BS1" s="133" t="s">
        <v>230</v>
      </c>
      <c r="BT1" s="26"/>
      <c r="BU1" s="26"/>
      <c r="BV1" s="135" t="s">
        <v>231</v>
      </c>
      <c r="BW1" s="72" t="s">
        <v>229</v>
      </c>
      <c r="BX1" s="72" t="s">
        <v>232</v>
      </c>
      <c r="BY1" s="137" t="s">
        <v>233</v>
      </c>
      <c r="BZ1" s="139" t="s">
        <v>234</v>
      </c>
    </row>
    <row r="2" spans="1:97" ht="90.75" customHeight="1" thickBot="1">
      <c r="A2" s="48" t="s">
        <v>235</v>
      </c>
      <c r="B2" s="48" t="s">
        <v>28</v>
      </c>
      <c r="C2" s="48" t="s">
        <v>44</v>
      </c>
      <c r="D2" s="48" t="s">
        <v>236</v>
      </c>
      <c r="E2" s="48" t="s">
        <v>52</v>
      </c>
      <c r="F2" s="48" t="s">
        <v>237</v>
      </c>
      <c r="G2" s="48" t="s">
        <v>72</v>
      </c>
      <c r="H2" s="48" t="s">
        <v>238</v>
      </c>
      <c r="I2" s="66" t="s">
        <v>239</v>
      </c>
      <c r="J2" s="67" t="s">
        <v>240</v>
      </c>
      <c r="K2" s="66" t="s">
        <v>241</v>
      </c>
      <c r="L2" s="67" t="s">
        <v>242</v>
      </c>
      <c r="M2" s="123"/>
      <c r="N2" s="68" t="s">
        <v>99</v>
      </c>
      <c r="O2" s="68" t="s">
        <v>100</v>
      </c>
      <c r="P2" s="68" t="s">
        <v>101</v>
      </c>
      <c r="Q2" s="68" t="s">
        <v>102</v>
      </c>
      <c r="R2" s="68" t="s">
        <v>103</v>
      </c>
      <c r="S2" s="68" t="s">
        <v>104</v>
      </c>
      <c r="T2" s="68" t="s">
        <v>105</v>
      </c>
      <c r="U2" s="68" t="s">
        <v>106</v>
      </c>
      <c r="V2" s="68" t="s">
        <v>107</v>
      </c>
      <c r="W2" s="68" t="s">
        <v>243</v>
      </c>
      <c r="X2" s="68" t="s">
        <v>109</v>
      </c>
      <c r="Y2" s="68" t="s">
        <v>110</v>
      </c>
      <c r="Z2" s="68" t="s">
        <v>132</v>
      </c>
      <c r="AA2" s="68" t="s">
        <v>133</v>
      </c>
      <c r="AB2" s="68" t="s">
        <v>244</v>
      </c>
      <c r="AC2" s="69" t="s">
        <v>152</v>
      </c>
      <c r="AD2" s="69" t="s">
        <v>153</v>
      </c>
      <c r="AE2" s="69" t="s">
        <v>154</v>
      </c>
      <c r="AF2" s="69" t="s">
        <v>155</v>
      </c>
      <c r="AG2" s="69" t="s">
        <v>156</v>
      </c>
      <c r="AH2" s="69" t="s">
        <v>157</v>
      </c>
      <c r="AI2" s="69" t="s">
        <v>158</v>
      </c>
      <c r="AJ2" s="69" t="s">
        <v>159</v>
      </c>
      <c r="AK2" s="69" t="s">
        <v>170</v>
      </c>
      <c r="AL2" s="69" t="s">
        <v>171</v>
      </c>
      <c r="AM2" s="68" t="s">
        <v>172</v>
      </c>
      <c r="AN2" s="68" t="s">
        <v>173</v>
      </c>
      <c r="AO2" s="68" t="s">
        <v>174</v>
      </c>
      <c r="AP2" s="68" t="s">
        <v>175</v>
      </c>
      <c r="AQ2" s="68" t="s">
        <v>176</v>
      </c>
      <c r="AR2" s="68" t="s">
        <v>177</v>
      </c>
      <c r="AS2" s="68" t="s">
        <v>178</v>
      </c>
      <c r="AT2" s="68" t="s">
        <v>179</v>
      </c>
      <c r="AU2" s="68" t="s">
        <v>180</v>
      </c>
      <c r="AV2" s="68" t="s">
        <v>185</v>
      </c>
      <c r="AW2" s="68" t="s">
        <v>186</v>
      </c>
      <c r="AX2" s="68" t="s">
        <v>187</v>
      </c>
      <c r="AY2" s="68" t="s">
        <v>188</v>
      </c>
      <c r="AZ2" s="68" t="s">
        <v>189</v>
      </c>
      <c r="BA2" s="68" t="s">
        <v>190</v>
      </c>
      <c r="BB2" s="68" t="s">
        <v>191</v>
      </c>
      <c r="BC2" s="68" t="s">
        <v>192</v>
      </c>
      <c r="BD2" s="68" t="s">
        <v>104</v>
      </c>
      <c r="BE2" s="68" t="s">
        <v>193</v>
      </c>
      <c r="BF2" s="68" t="s">
        <v>105</v>
      </c>
      <c r="BG2" s="68" t="s">
        <v>194</v>
      </c>
      <c r="BH2" s="68" t="s">
        <v>195</v>
      </c>
      <c r="BI2" s="68" t="s">
        <v>196</v>
      </c>
      <c r="BJ2" s="68" t="s">
        <v>134</v>
      </c>
      <c r="BK2" s="68" t="s">
        <v>197</v>
      </c>
      <c r="BL2" s="68" t="s">
        <v>198</v>
      </c>
      <c r="BM2" s="125"/>
      <c r="BN2" s="69" t="s">
        <v>245</v>
      </c>
      <c r="BO2" s="69" t="s">
        <v>246</v>
      </c>
      <c r="BP2" s="69" t="s">
        <v>247</v>
      </c>
      <c r="BQ2" s="127"/>
      <c r="BR2" s="71" t="s">
        <v>248</v>
      </c>
      <c r="BS2" s="134"/>
      <c r="BT2" s="71" t="s">
        <v>249</v>
      </c>
      <c r="BU2" s="71" t="s">
        <v>250</v>
      </c>
      <c r="BV2" s="136"/>
      <c r="BW2" s="71" t="s">
        <v>251</v>
      </c>
      <c r="BX2" s="71" t="s">
        <v>252</v>
      </c>
      <c r="BY2" s="138"/>
      <c r="BZ2" s="140"/>
    </row>
    <row r="3" spans="1:97" ht="36.75" customHeight="1" thickTop="1" thickBot="1">
      <c r="A3" s="49">
        <v>46083.235127314816</v>
      </c>
      <c r="B3" s="50" t="s">
        <v>33</v>
      </c>
      <c r="C3" s="50" t="s">
        <v>45</v>
      </c>
      <c r="D3" s="50" t="s">
        <v>369</v>
      </c>
      <c r="E3" s="50" t="s">
        <v>285</v>
      </c>
      <c r="F3" s="50" t="s">
        <v>286</v>
      </c>
      <c r="G3" s="50" t="s">
        <v>73</v>
      </c>
      <c r="H3" s="50" t="s">
        <v>327</v>
      </c>
      <c r="I3" s="50" t="s">
        <v>295</v>
      </c>
      <c r="J3" s="50" t="s">
        <v>286</v>
      </c>
      <c r="K3" s="50" t="s">
        <v>287</v>
      </c>
      <c r="L3" s="50" t="s">
        <v>310</v>
      </c>
      <c r="M3" s="50" t="s">
        <v>311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5</v>
      </c>
      <c r="AH3" s="111">
        <v>5</v>
      </c>
      <c r="AI3" s="111">
        <v>5</v>
      </c>
      <c r="AJ3" s="111">
        <v>5</v>
      </c>
      <c r="AK3" s="111">
        <v>5</v>
      </c>
      <c r="AL3" s="111">
        <v>5</v>
      </c>
      <c r="AM3" s="111">
        <v>5</v>
      </c>
      <c r="AN3" s="111">
        <v>5</v>
      </c>
      <c r="AO3" s="111">
        <v>5</v>
      </c>
      <c r="AP3" s="111">
        <v>5</v>
      </c>
      <c r="AQ3" s="111">
        <v>5</v>
      </c>
      <c r="AR3" s="111">
        <v>5</v>
      </c>
      <c r="AS3" s="111">
        <v>5</v>
      </c>
      <c r="AT3" s="111">
        <v>5</v>
      </c>
      <c r="AU3" s="111">
        <v>5</v>
      </c>
      <c r="AV3" s="50" t="s">
        <v>199</v>
      </c>
      <c r="AW3" s="50" t="s">
        <v>199</v>
      </c>
      <c r="AX3" s="50" t="s">
        <v>199</v>
      </c>
      <c r="AY3" s="50" t="s">
        <v>200</v>
      </c>
      <c r="AZ3" s="50" t="s">
        <v>200</v>
      </c>
      <c r="BA3" s="50" t="s">
        <v>200</v>
      </c>
      <c r="BB3" s="50" t="s">
        <v>200</v>
      </c>
      <c r="BC3" s="50" t="s">
        <v>200</v>
      </c>
      <c r="BD3" s="50" t="s">
        <v>200</v>
      </c>
      <c r="BE3" s="50" t="s">
        <v>200</v>
      </c>
      <c r="BF3" s="50" t="s">
        <v>200</v>
      </c>
      <c r="BG3" s="50" t="s">
        <v>200</v>
      </c>
      <c r="BH3" s="50" t="s">
        <v>200</v>
      </c>
      <c r="BI3" s="50" t="s">
        <v>200</v>
      </c>
      <c r="BJ3" s="50" t="s">
        <v>200</v>
      </c>
      <c r="BK3" s="50" t="s">
        <v>200</v>
      </c>
      <c r="BL3" s="50" t="s">
        <v>200</v>
      </c>
      <c r="BM3" s="50" t="s">
        <v>436</v>
      </c>
      <c r="BN3" s="50" t="s">
        <v>318</v>
      </c>
      <c r="BO3" s="50" t="s">
        <v>91</v>
      </c>
      <c r="BP3" s="50" t="s">
        <v>286</v>
      </c>
      <c r="BQ3" s="50" t="s">
        <v>287</v>
      </c>
      <c r="BR3" s="50" t="s">
        <v>403</v>
      </c>
      <c r="BS3" s="111">
        <v>5</v>
      </c>
      <c r="BT3" s="50" t="s">
        <v>286</v>
      </c>
      <c r="BU3" s="50" t="s">
        <v>312</v>
      </c>
      <c r="BV3" s="50" t="s">
        <v>288</v>
      </c>
      <c r="BW3" s="50" t="s">
        <v>303</v>
      </c>
      <c r="BX3" s="50" t="s">
        <v>296</v>
      </c>
      <c r="BY3" s="50" t="s">
        <v>288</v>
      </c>
      <c r="BZ3" s="50" t="s">
        <v>287</v>
      </c>
      <c r="CA3" s="50"/>
      <c r="CB3" s="50" t="s">
        <v>287</v>
      </c>
      <c r="CC3" s="50" t="s">
        <v>287</v>
      </c>
      <c r="CD3" s="50" t="s">
        <v>287</v>
      </c>
      <c r="CE3" s="50"/>
      <c r="CF3" s="50" t="s">
        <v>287</v>
      </c>
      <c r="CG3" s="50" t="s">
        <v>287</v>
      </c>
      <c r="CH3" s="50" t="s">
        <v>486</v>
      </c>
      <c r="CI3" s="50" t="s">
        <v>287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ht="36.75" customHeight="1" thickBot="1">
      <c r="A4" s="49">
        <v>46083.237268518518</v>
      </c>
      <c r="B4" s="50" t="s">
        <v>33</v>
      </c>
      <c r="C4" s="50" t="s">
        <v>45</v>
      </c>
      <c r="D4" s="50" t="s">
        <v>369</v>
      </c>
      <c r="E4" s="50" t="s">
        <v>61</v>
      </c>
      <c r="F4" s="50" t="s">
        <v>286</v>
      </c>
      <c r="G4" s="50" t="s">
        <v>73</v>
      </c>
      <c r="H4" s="50" t="s">
        <v>487</v>
      </c>
      <c r="I4" s="50" t="s">
        <v>295</v>
      </c>
      <c r="J4" s="50" t="s">
        <v>286</v>
      </c>
      <c r="K4" s="50" t="s">
        <v>287</v>
      </c>
      <c r="L4" s="50" t="s">
        <v>336</v>
      </c>
      <c r="M4" s="50" t="s">
        <v>311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5</v>
      </c>
      <c r="AH4" s="111">
        <v>5</v>
      </c>
      <c r="AI4" s="111">
        <v>5</v>
      </c>
      <c r="AJ4" s="111">
        <v>5</v>
      </c>
      <c r="AK4" s="111">
        <v>5</v>
      </c>
      <c r="AL4" s="111">
        <v>5</v>
      </c>
      <c r="AM4" s="111">
        <v>5</v>
      </c>
      <c r="AN4" s="111">
        <v>5</v>
      </c>
      <c r="AO4" s="111">
        <v>5</v>
      </c>
      <c r="AP4" s="111">
        <v>5</v>
      </c>
      <c r="AQ4" s="111">
        <v>5</v>
      </c>
      <c r="AR4" s="111">
        <v>5</v>
      </c>
      <c r="AS4" s="111">
        <v>5</v>
      </c>
      <c r="AT4" s="111">
        <v>5</v>
      </c>
      <c r="AU4" s="111">
        <v>5</v>
      </c>
      <c r="AV4" s="50" t="s">
        <v>199</v>
      </c>
      <c r="AW4" s="50" t="s">
        <v>199</v>
      </c>
      <c r="AX4" s="50" t="s">
        <v>199</v>
      </c>
      <c r="AY4" s="50" t="s">
        <v>200</v>
      </c>
      <c r="AZ4" s="50" t="s">
        <v>200</v>
      </c>
      <c r="BA4" s="50" t="s">
        <v>200</v>
      </c>
      <c r="BB4" s="50" t="s">
        <v>200</v>
      </c>
      <c r="BC4" s="50" t="s">
        <v>200</v>
      </c>
      <c r="BD4" s="50" t="s">
        <v>200</v>
      </c>
      <c r="BE4" s="50" t="s">
        <v>200</v>
      </c>
      <c r="BF4" s="50" t="s">
        <v>200</v>
      </c>
      <c r="BG4" s="50" t="s">
        <v>200</v>
      </c>
      <c r="BH4" s="50" t="s">
        <v>200</v>
      </c>
      <c r="BI4" s="50" t="s">
        <v>200</v>
      </c>
      <c r="BJ4" s="50" t="s">
        <v>200</v>
      </c>
      <c r="BK4" s="50" t="s">
        <v>200</v>
      </c>
      <c r="BL4" s="50" t="s">
        <v>200</v>
      </c>
      <c r="BM4" s="50" t="s">
        <v>436</v>
      </c>
      <c r="BN4" s="50" t="s">
        <v>318</v>
      </c>
      <c r="BO4" s="50" t="s">
        <v>91</v>
      </c>
      <c r="BP4" s="50" t="s">
        <v>286</v>
      </c>
      <c r="BQ4" s="50" t="s">
        <v>287</v>
      </c>
      <c r="BR4" s="50" t="s">
        <v>373</v>
      </c>
      <c r="BS4" s="111">
        <v>5</v>
      </c>
      <c r="BT4" s="50" t="s">
        <v>286</v>
      </c>
      <c r="BU4" s="50" t="s">
        <v>312</v>
      </c>
      <c r="BV4" s="50" t="s">
        <v>288</v>
      </c>
      <c r="BW4" s="50" t="s">
        <v>289</v>
      </c>
      <c r="BX4" s="50" t="s">
        <v>294</v>
      </c>
      <c r="BY4" s="50" t="s">
        <v>288</v>
      </c>
      <c r="BZ4" s="50" t="s">
        <v>287</v>
      </c>
      <c r="CA4" s="50"/>
      <c r="CB4" s="50" t="s">
        <v>287</v>
      </c>
      <c r="CC4" s="50" t="s">
        <v>287</v>
      </c>
      <c r="CD4" s="50" t="s">
        <v>287</v>
      </c>
      <c r="CE4" s="50"/>
      <c r="CF4" s="50" t="s">
        <v>287</v>
      </c>
      <c r="CG4" s="50" t="s">
        <v>287</v>
      </c>
      <c r="CH4" s="50" t="s">
        <v>488</v>
      </c>
      <c r="CI4" s="50" t="s">
        <v>287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</row>
    <row r="5" spans="1:97" ht="36.75" customHeight="1" thickBot="1">
      <c r="A5" s="49">
        <v>46083.238888888889</v>
      </c>
      <c r="B5" s="50" t="s">
        <v>33</v>
      </c>
      <c r="C5" s="50" t="s">
        <v>46</v>
      </c>
      <c r="D5" s="50" t="s">
        <v>374</v>
      </c>
      <c r="E5" s="50" t="s">
        <v>61</v>
      </c>
      <c r="F5" s="50" t="s">
        <v>286</v>
      </c>
      <c r="G5" s="50" t="s">
        <v>73</v>
      </c>
      <c r="H5" s="50" t="s">
        <v>314</v>
      </c>
      <c r="I5" s="50" t="s">
        <v>92</v>
      </c>
      <c r="J5" s="50" t="s">
        <v>286</v>
      </c>
      <c r="K5" s="50" t="s">
        <v>287</v>
      </c>
      <c r="L5" s="50" t="s">
        <v>336</v>
      </c>
      <c r="M5" s="50" t="s">
        <v>311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5</v>
      </c>
      <c r="AH5" s="111">
        <v>5</v>
      </c>
      <c r="AI5" s="111">
        <v>5</v>
      </c>
      <c r="AJ5" s="111">
        <v>5</v>
      </c>
      <c r="AK5" s="111">
        <v>5</v>
      </c>
      <c r="AL5" s="111">
        <v>5</v>
      </c>
      <c r="AM5" s="111">
        <v>5</v>
      </c>
      <c r="AN5" s="111">
        <v>5</v>
      </c>
      <c r="AO5" s="111">
        <v>5</v>
      </c>
      <c r="AP5" s="111">
        <v>5</v>
      </c>
      <c r="AQ5" s="111">
        <v>5</v>
      </c>
      <c r="AR5" s="111">
        <v>5</v>
      </c>
      <c r="AS5" s="111">
        <v>5</v>
      </c>
      <c r="AT5" s="111">
        <v>5</v>
      </c>
      <c r="AU5" s="111">
        <v>5</v>
      </c>
      <c r="AV5" s="50" t="s">
        <v>199</v>
      </c>
      <c r="AW5" s="50" t="s">
        <v>199</v>
      </c>
      <c r="AX5" s="50" t="s">
        <v>199</v>
      </c>
      <c r="AY5" s="50" t="s">
        <v>200</v>
      </c>
      <c r="AZ5" s="50" t="s">
        <v>200</v>
      </c>
      <c r="BA5" s="50" t="s">
        <v>200</v>
      </c>
      <c r="BB5" s="50" t="s">
        <v>200</v>
      </c>
      <c r="BC5" s="50" t="s">
        <v>200</v>
      </c>
      <c r="BD5" s="50" t="s">
        <v>200</v>
      </c>
      <c r="BE5" s="50" t="s">
        <v>200</v>
      </c>
      <c r="BF5" s="50" t="s">
        <v>200</v>
      </c>
      <c r="BG5" s="50" t="s">
        <v>200</v>
      </c>
      <c r="BH5" s="50" t="s">
        <v>200</v>
      </c>
      <c r="BI5" s="50" t="s">
        <v>200</v>
      </c>
      <c r="BJ5" s="50" t="s">
        <v>200</v>
      </c>
      <c r="BK5" s="50" t="s">
        <v>200</v>
      </c>
      <c r="BL5" s="50" t="s">
        <v>200</v>
      </c>
      <c r="BM5" s="50" t="s">
        <v>436</v>
      </c>
      <c r="BN5" s="50" t="s">
        <v>318</v>
      </c>
      <c r="BO5" s="50" t="s">
        <v>91</v>
      </c>
      <c r="BP5" s="50" t="s">
        <v>286</v>
      </c>
      <c r="BQ5" s="50" t="s">
        <v>287</v>
      </c>
      <c r="BR5" s="50" t="s">
        <v>373</v>
      </c>
      <c r="BS5" s="111">
        <v>5</v>
      </c>
      <c r="BT5" s="50" t="s">
        <v>286</v>
      </c>
      <c r="BU5" s="50" t="s">
        <v>312</v>
      </c>
      <c r="BV5" s="50" t="s">
        <v>288</v>
      </c>
      <c r="BW5" s="50" t="s">
        <v>304</v>
      </c>
      <c r="BX5" s="50" t="s">
        <v>300</v>
      </c>
      <c r="BY5" s="50" t="s">
        <v>288</v>
      </c>
      <c r="BZ5" s="50" t="s">
        <v>287</v>
      </c>
      <c r="CA5" s="50"/>
      <c r="CB5" s="50" t="s">
        <v>287</v>
      </c>
      <c r="CC5" s="50" t="s">
        <v>287</v>
      </c>
      <c r="CD5" s="50" t="s">
        <v>287</v>
      </c>
      <c r="CE5" s="50"/>
      <c r="CF5" s="50" t="s">
        <v>287</v>
      </c>
      <c r="CG5" s="50" t="s">
        <v>287</v>
      </c>
      <c r="CH5" s="50" t="s">
        <v>486</v>
      </c>
      <c r="CI5" s="50" t="s">
        <v>287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</row>
    <row r="6" spans="1:97" ht="36.75" customHeight="1" thickBot="1">
      <c r="A6" s="49">
        <v>46083.241608796299</v>
      </c>
      <c r="B6" s="50" t="s">
        <v>40</v>
      </c>
      <c r="C6" s="50" t="s">
        <v>46</v>
      </c>
      <c r="D6" s="50" t="s">
        <v>374</v>
      </c>
      <c r="E6" s="50" t="s">
        <v>60</v>
      </c>
      <c r="F6" s="50" t="s">
        <v>286</v>
      </c>
      <c r="G6" s="50" t="s">
        <v>73</v>
      </c>
      <c r="H6" s="50" t="s">
        <v>298</v>
      </c>
      <c r="I6" s="50" t="s">
        <v>81</v>
      </c>
      <c r="J6" s="50" t="s">
        <v>286</v>
      </c>
      <c r="K6" s="50" t="s">
        <v>287</v>
      </c>
      <c r="L6" s="50" t="s">
        <v>286</v>
      </c>
      <c r="M6" s="50" t="s">
        <v>311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5</v>
      </c>
      <c r="AH6" s="111">
        <v>5</v>
      </c>
      <c r="AI6" s="111">
        <v>5</v>
      </c>
      <c r="AJ6" s="111">
        <v>5</v>
      </c>
      <c r="AK6" s="111">
        <v>5</v>
      </c>
      <c r="AL6" s="111">
        <v>5</v>
      </c>
      <c r="AM6" s="111">
        <v>5</v>
      </c>
      <c r="AN6" s="111">
        <v>5</v>
      </c>
      <c r="AO6" s="111">
        <v>5</v>
      </c>
      <c r="AP6" s="111">
        <v>5</v>
      </c>
      <c r="AQ6" s="111">
        <v>5</v>
      </c>
      <c r="AR6" s="111">
        <v>5</v>
      </c>
      <c r="AS6" s="111">
        <v>5</v>
      </c>
      <c r="AT6" s="111">
        <v>5</v>
      </c>
      <c r="AU6" s="111">
        <v>5</v>
      </c>
      <c r="AV6" s="50" t="s">
        <v>199</v>
      </c>
      <c r="AW6" s="50" t="s">
        <v>199</v>
      </c>
      <c r="AX6" s="50" t="s">
        <v>199</v>
      </c>
      <c r="AY6" s="50" t="s">
        <v>200</v>
      </c>
      <c r="AZ6" s="50" t="s">
        <v>200</v>
      </c>
      <c r="BA6" s="50" t="s">
        <v>200</v>
      </c>
      <c r="BB6" s="50" t="s">
        <v>200</v>
      </c>
      <c r="BC6" s="50" t="s">
        <v>200</v>
      </c>
      <c r="BD6" s="50" t="s">
        <v>200</v>
      </c>
      <c r="BE6" s="50" t="s">
        <v>200</v>
      </c>
      <c r="BF6" s="50" t="s">
        <v>200</v>
      </c>
      <c r="BG6" s="50" t="s">
        <v>200</v>
      </c>
      <c r="BH6" s="50" t="s">
        <v>200</v>
      </c>
      <c r="BI6" s="50" t="s">
        <v>200</v>
      </c>
      <c r="BJ6" s="50" t="s">
        <v>200</v>
      </c>
      <c r="BK6" s="50" t="s">
        <v>200</v>
      </c>
      <c r="BL6" s="50" t="s">
        <v>200</v>
      </c>
      <c r="BM6" s="50" t="s">
        <v>436</v>
      </c>
      <c r="BN6" s="50" t="s">
        <v>489</v>
      </c>
      <c r="BO6" s="50" t="s">
        <v>91</v>
      </c>
      <c r="BP6" s="50" t="s">
        <v>286</v>
      </c>
      <c r="BQ6" s="50" t="s">
        <v>287</v>
      </c>
      <c r="BR6" s="50" t="s">
        <v>414</v>
      </c>
      <c r="BS6" s="111">
        <v>5</v>
      </c>
      <c r="BT6" s="50" t="s">
        <v>286</v>
      </c>
      <c r="BU6" s="50" t="s">
        <v>312</v>
      </c>
      <c r="BV6" s="50" t="s">
        <v>288</v>
      </c>
      <c r="BW6" s="50" t="s">
        <v>303</v>
      </c>
      <c r="BX6" s="50" t="s">
        <v>296</v>
      </c>
      <c r="BY6" s="50" t="s">
        <v>288</v>
      </c>
      <c r="BZ6" s="50" t="s">
        <v>287</v>
      </c>
      <c r="CA6" s="50"/>
      <c r="CB6" s="50" t="s">
        <v>287</v>
      </c>
      <c r="CC6" s="50" t="s">
        <v>287</v>
      </c>
      <c r="CD6" s="50" t="s">
        <v>287</v>
      </c>
      <c r="CE6" s="50"/>
      <c r="CF6" s="50" t="s">
        <v>287</v>
      </c>
      <c r="CG6" s="50" t="s">
        <v>287</v>
      </c>
      <c r="CH6" s="50" t="s">
        <v>486</v>
      </c>
      <c r="CI6" s="50" t="s">
        <v>287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</row>
    <row r="7" spans="1:97" ht="36.75" customHeight="1" thickBot="1">
      <c r="A7" s="49">
        <v>46083.244699074072</v>
      </c>
      <c r="B7" s="50" t="s">
        <v>40</v>
      </c>
      <c r="C7" s="50" t="s">
        <v>45</v>
      </c>
      <c r="D7" s="50" t="s">
        <v>374</v>
      </c>
      <c r="E7" s="50" t="s">
        <v>60</v>
      </c>
      <c r="F7" s="50" t="s">
        <v>286</v>
      </c>
      <c r="G7" s="50" t="s">
        <v>73</v>
      </c>
      <c r="H7" s="50" t="s">
        <v>336</v>
      </c>
      <c r="I7" s="50" t="s">
        <v>81</v>
      </c>
      <c r="J7" s="50" t="s">
        <v>286</v>
      </c>
      <c r="K7" s="50" t="s">
        <v>287</v>
      </c>
      <c r="L7" s="50" t="s">
        <v>424</v>
      </c>
      <c r="M7" s="50" t="s">
        <v>311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5</v>
      </c>
      <c r="AG7" s="111">
        <v>5</v>
      </c>
      <c r="AH7" s="111">
        <v>5</v>
      </c>
      <c r="AI7" s="111">
        <v>5</v>
      </c>
      <c r="AJ7" s="111">
        <v>5</v>
      </c>
      <c r="AK7" s="111">
        <v>5</v>
      </c>
      <c r="AL7" s="111">
        <v>5</v>
      </c>
      <c r="AM7" s="111">
        <v>5</v>
      </c>
      <c r="AN7" s="111">
        <v>5</v>
      </c>
      <c r="AO7" s="111">
        <v>5</v>
      </c>
      <c r="AP7" s="111">
        <v>5</v>
      </c>
      <c r="AQ7" s="111">
        <v>5</v>
      </c>
      <c r="AR7" s="111">
        <v>5</v>
      </c>
      <c r="AS7" s="111">
        <v>5</v>
      </c>
      <c r="AT7" s="111">
        <v>5</v>
      </c>
      <c r="AU7" s="111">
        <v>5</v>
      </c>
      <c r="AV7" s="50" t="s">
        <v>199</v>
      </c>
      <c r="AW7" s="50" t="s">
        <v>199</v>
      </c>
      <c r="AX7" s="50" t="s">
        <v>199</v>
      </c>
      <c r="AY7" s="50" t="s">
        <v>200</v>
      </c>
      <c r="AZ7" s="50" t="s">
        <v>200</v>
      </c>
      <c r="BA7" s="50" t="s">
        <v>200</v>
      </c>
      <c r="BB7" s="50" t="s">
        <v>200</v>
      </c>
      <c r="BC7" s="50" t="s">
        <v>200</v>
      </c>
      <c r="BD7" s="50" t="s">
        <v>200</v>
      </c>
      <c r="BE7" s="50" t="s">
        <v>200</v>
      </c>
      <c r="BF7" s="50" t="s">
        <v>200</v>
      </c>
      <c r="BG7" s="50" t="s">
        <v>200</v>
      </c>
      <c r="BH7" s="50" t="s">
        <v>200</v>
      </c>
      <c r="BI7" s="50" t="s">
        <v>200</v>
      </c>
      <c r="BJ7" s="50" t="s">
        <v>200</v>
      </c>
      <c r="BK7" s="50" t="s">
        <v>200</v>
      </c>
      <c r="BL7" s="50" t="s">
        <v>200</v>
      </c>
      <c r="BM7" s="50" t="s">
        <v>436</v>
      </c>
      <c r="BN7" s="50" t="s">
        <v>318</v>
      </c>
      <c r="BO7" s="50" t="s">
        <v>91</v>
      </c>
      <c r="BP7" s="50" t="s">
        <v>286</v>
      </c>
      <c r="BQ7" s="50" t="s">
        <v>287</v>
      </c>
      <c r="BR7" s="50" t="s">
        <v>408</v>
      </c>
      <c r="BS7" s="111">
        <v>5</v>
      </c>
      <c r="BT7" s="50" t="s">
        <v>286</v>
      </c>
      <c r="BU7" s="50" t="s">
        <v>312</v>
      </c>
      <c r="BV7" s="50" t="s">
        <v>288</v>
      </c>
      <c r="BW7" s="50" t="s">
        <v>304</v>
      </c>
      <c r="BX7" s="50" t="s">
        <v>296</v>
      </c>
      <c r="BY7" s="50" t="s">
        <v>288</v>
      </c>
      <c r="BZ7" s="50" t="s">
        <v>287</v>
      </c>
      <c r="CA7" s="50"/>
      <c r="CB7" s="50" t="s">
        <v>287</v>
      </c>
      <c r="CC7" s="50" t="s">
        <v>287</v>
      </c>
      <c r="CD7" s="50" t="s">
        <v>287</v>
      </c>
      <c r="CE7" s="50"/>
      <c r="CF7" s="50" t="s">
        <v>287</v>
      </c>
      <c r="CG7" s="50" t="s">
        <v>287</v>
      </c>
      <c r="CH7" s="50" t="s">
        <v>486</v>
      </c>
      <c r="CI7" s="50" t="s">
        <v>287</v>
      </c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1:97" ht="36.75" customHeight="1" thickBot="1">
      <c r="A8" s="49">
        <v>46083.247800925928</v>
      </c>
      <c r="B8" s="50" t="s">
        <v>40</v>
      </c>
      <c r="C8" s="50" t="s">
        <v>45</v>
      </c>
      <c r="D8" s="50" t="s">
        <v>374</v>
      </c>
      <c r="E8" s="50" t="s">
        <v>61</v>
      </c>
      <c r="F8" s="50" t="s">
        <v>286</v>
      </c>
      <c r="G8" s="50" t="s">
        <v>73</v>
      </c>
      <c r="H8" s="50" t="s">
        <v>328</v>
      </c>
      <c r="I8" s="50" t="s">
        <v>81</v>
      </c>
      <c r="J8" s="50" t="s">
        <v>286</v>
      </c>
      <c r="K8" s="50" t="s">
        <v>287</v>
      </c>
      <c r="L8" s="50" t="s">
        <v>336</v>
      </c>
      <c r="M8" s="50" t="s">
        <v>316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5</v>
      </c>
      <c r="AL8" s="111">
        <v>5</v>
      </c>
      <c r="AM8" s="111">
        <v>5</v>
      </c>
      <c r="AN8" s="111">
        <v>5</v>
      </c>
      <c r="AO8" s="111">
        <v>5</v>
      </c>
      <c r="AP8" s="111">
        <v>5</v>
      </c>
      <c r="AQ8" s="111">
        <v>5</v>
      </c>
      <c r="AR8" s="111">
        <v>5</v>
      </c>
      <c r="AS8" s="111">
        <v>5</v>
      </c>
      <c r="AT8" s="111">
        <v>5</v>
      </c>
      <c r="AU8" s="111">
        <v>5</v>
      </c>
      <c r="AV8" s="50" t="s">
        <v>199</v>
      </c>
      <c r="AW8" s="50" t="s">
        <v>199</v>
      </c>
      <c r="AX8" s="50" t="s">
        <v>199</v>
      </c>
      <c r="AY8" s="50" t="s">
        <v>200</v>
      </c>
      <c r="AZ8" s="50" t="s">
        <v>200</v>
      </c>
      <c r="BA8" s="50" t="s">
        <v>200</v>
      </c>
      <c r="BB8" s="50" t="s">
        <v>200</v>
      </c>
      <c r="BC8" s="50" t="s">
        <v>200</v>
      </c>
      <c r="BD8" s="50" t="s">
        <v>200</v>
      </c>
      <c r="BE8" s="50" t="s">
        <v>200</v>
      </c>
      <c r="BF8" s="50" t="s">
        <v>200</v>
      </c>
      <c r="BG8" s="50" t="s">
        <v>200</v>
      </c>
      <c r="BH8" s="50" t="s">
        <v>200</v>
      </c>
      <c r="BI8" s="50" t="s">
        <v>200</v>
      </c>
      <c r="BJ8" s="50" t="s">
        <v>200</v>
      </c>
      <c r="BK8" s="50" t="s">
        <v>200</v>
      </c>
      <c r="BL8" s="50" t="s">
        <v>200</v>
      </c>
      <c r="BM8" s="50" t="s">
        <v>436</v>
      </c>
      <c r="BN8" s="50" t="s">
        <v>318</v>
      </c>
      <c r="BO8" s="50" t="s">
        <v>91</v>
      </c>
      <c r="BP8" s="50" t="s">
        <v>286</v>
      </c>
      <c r="BQ8" s="50" t="s">
        <v>287</v>
      </c>
      <c r="BR8" s="50" t="s">
        <v>416</v>
      </c>
      <c r="BS8" s="111">
        <v>5</v>
      </c>
      <c r="BT8" s="50" t="s">
        <v>286</v>
      </c>
      <c r="BU8" s="50" t="s">
        <v>312</v>
      </c>
      <c r="BV8" s="50" t="s">
        <v>288</v>
      </c>
      <c r="BW8" s="50" t="s">
        <v>303</v>
      </c>
      <c r="BX8" s="50" t="s">
        <v>296</v>
      </c>
      <c r="BY8" s="50" t="s">
        <v>288</v>
      </c>
      <c r="BZ8" s="50" t="s">
        <v>287</v>
      </c>
      <c r="CA8" s="50"/>
      <c r="CB8" s="50" t="s">
        <v>287</v>
      </c>
      <c r="CC8" s="50" t="s">
        <v>287</v>
      </c>
      <c r="CD8" s="50" t="s">
        <v>287</v>
      </c>
      <c r="CE8" s="50"/>
      <c r="CF8" s="50" t="s">
        <v>287</v>
      </c>
      <c r="CG8" s="50" t="s">
        <v>287</v>
      </c>
      <c r="CH8" s="50" t="s">
        <v>486</v>
      </c>
      <c r="CI8" s="50" t="s">
        <v>287</v>
      </c>
      <c r="CJ8" s="50"/>
      <c r="CK8" s="50"/>
      <c r="CL8" s="50"/>
      <c r="CM8" s="50"/>
      <c r="CN8" s="50"/>
      <c r="CO8" s="50"/>
      <c r="CP8" s="50"/>
      <c r="CQ8" s="50"/>
      <c r="CR8" s="50"/>
      <c r="CS8" s="50"/>
    </row>
    <row r="9" spans="1:97" ht="36.75" customHeight="1" thickBot="1">
      <c r="A9" s="49">
        <v>46083.310763888891</v>
      </c>
      <c r="B9" s="50" t="s">
        <v>40</v>
      </c>
      <c r="C9" s="50" t="s">
        <v>46</v>
      </c>
      <c r="D9" s="50" t="s">
        <v>374</v>
      </c>
      <c r="E9" s="50" t="s">
        <v>63</v>
      </c>
      <c r="F9" s="50" t="s">
        <v>286</v>
      </c>
      <c r="G9" s="50" t="s">
        <v>73</v>
      </c>
      <c r="H9" s="50" t="s">
        <v>445</v>
      </c>
      <c r="I9" s="50" t="s">
        <v>81</v>
      </c>
      <c r="J9" s="50" t="s">
        <v>286</v>
      </c>
      <c r="K9" s="50" t="s">
        <v>287</v>
      </c>
      <c r="L9" s="50" t="s">
        <v>379</v>
      </c>
      <c r="M9" s="50" t="s">
        <v>370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6</v>
      </c>
      <c r="T9" s="111">
        <v>4</v>
      </c>
      <c r="U9" s="111">
        <v>5</v>
      </c>
      <c r="V9" s="111">
        <v>6</v>
      </c>
      <c r="W9" s="111">
        <v>6</v>
      </c>
      <c r="X9" s="111">
        <v>6</v>
      </c>
      <c r="Y9" s="111">
        <v>6</v>
      </c>
      <c r="Z9" s="111">
        <v>6</v>
      </c>
      <c r="AA9" s="111">
        <v>6</v>
      </c>
      <c r="AB9" s="111">
        <v>6</v>
      </c>
      <c r="AC9" s="111">
        <v>5</v>
      </c>
      <c r="AD9" s="111">
        <v>5</v>
      </c>
      <c r="AE9" s="111">
        <v>5</v>
      </c>
      <c r="AF9" s="111">
        <v>5</v>
      </c>
      <c r="AG9" s="111">
        <v>5</v>
      </c>
      <c r="AH9" s="111">
        <v>5</v>
      </c>
      <c r="AI9" s="111">
        <v>5</v>
      </c>
      <c r="AJ9" s="111">
        <v>5</v>
      </c>
      <c r="AK9" s="111">
        <v>4</v>
      </c>
      <c r="AL9" s="111">
        <v>5</v>
      </c>
      <c r="AM9" s="111">
        <v>5</v>
      </c>
      <c r="AN9" s="111">
        <v>5</v>
      </c>
      <c r="AO9" s="111">
        <v>5</v>
      </c>
      <c r="AP9" s="111">
        <v>5</v>
      </c>
      <c r="AQ9" s="111">
        <v>6</v>
      </c>
      <c r="AR9" s="111">
        <v>5</v>
      </c>
      <c r="AS9" s="111">
        <v>5</v>
      </c>
      <c r="AT9" s="111">
        <v>5</v>
      </c>
      <c r="AU9" s="111">
        <v>5</v>
      </c>
      <c r="AV9" s="50" t="s">
        <v>202</v>
      </c>
      <c r="AW9" s="50" t="s">
        <v>202</v>
      </c>
      <c r="AX9" s="50" t="s">
        <v>201</v>
      </c>
      <c r="AY9" s="50" t="s">
        <v>199</v>
      </c>
      <c r="AZ9" s="50" t="s">
        <v>202</v>
      </c>
      <c r="BA9" s="50" t="s">
        <v>199</v>
      </c>
      <c r="BB9" s="50" t="s">
        <v>202</v>
      </c>
      <c r="BC9" s="50" t="s">
        <v>202</v>
      </c>
      <c r="BD9" s="50" t="s">
        <v>202</v>
      </c>
      <c r="BE9" s="50" t="s">
        <v>202</v>
      </c>
      <c r="BF9" s="50" t="s">
        <v>201</v>
      </c>
      <c r="BG9" s="50" t="s">
        <v>202</v>
      </c>
      <c r="BH9" s="50" t="s">
        <v>200</v>
      </c>
      <c r="BI9" s="50" t="s">
        <v>202</v>
      </c>
      <c r="BJ9" s="50" t="s">
        <v>202</v>
      </c>
      <c r="BK9" s="50" t="s">
        <v>202</v>
      </c>
      <c r="BL9" s="50" t="s">
        <v>202</v>
      </c>
      <c r="BM9" s="50" t="s">
        <v>436</v>
      </c>
      <c r="BN9" s="50" t="s">
        <v>318</v>
      </c>
      <c r="BO9" s="50" t="s">
        <v>91</v>
      </c>
      <c r="BP9" s="50" t="s">
        <v>286</v>
      </c>
      <c r="BQ9" s="50" t="s">
        <v>287</v>
      </c>
      <c r="BR9" s="50" t="s">
        <v>372</v>
      </c>
      <c r="BS9" s="111">
        <v>5</v>
      </c>
      <c r="BT9" s="50" t="s">
        <v>286</v>
      </c>
      <c r="BU9" s="50" t="s">
        <v>348</v>
      </c>
      <c r="BV9" s="50" t="s">
        <v>288</v>
      </c>
      <c r="BW9" s="50" t="s">
        <v>350</v>
      </c>
      <c r="BX9" s="50" t="s">
        <v>387</v>
      </c>
      <c r="BY9" s="50" t="s">
        <v>288</v>
      </c>
      <c r="BZ9" s="50" t="s">
        <v>287</v>
      </c>
      <c r="CA9" s="50"/>
      <c r="CB9" s="50" t="s">
        <v>287</v>
      </c>
      <c r="CC9" s="50" t="s">
        <v>287</v>
      </c>
      <c r="CD9" s="50" t="s">
        <v>287</v>
      </c>
      <c r="CE9" s="50"/>
      <c r="CF9" s="50" t="s">
        <v>287</v>
      </c>
      <c r="CG9" s="50" t="s">
        <v>287</v>
      </c>
      <c r="CH9" s="50" t="s">
        <v>486</v>
      </c>
      <c r="CI9" s="50" t="s">
        <v>287</v>
      </c>
      <c r="CJ9" s="50"/>
      <c r="CK9" s="50"/>
      <c r="CL9" s="50"/>
      <c r="CM9" s="50"/>
      <c r="CN9" s="50"/>
      <c r="CO9" s="50"/>
      <c r="CP9" s="50"/>
      <c r="CQ9" s="50"/>
      <c r="CR9" s="50"/>
      <c r="CS9" s="50"/>
    </row>
    <row r="10" spans="1:97" ht="36.75" customHeight="1" thickBot="1">
      <c r="A10" s="49">
        <v>46083.356249999997</v>
      </c>
      <c r="B10" s="50" t="s">
        <v>40</v>
      </c>
      <c r="C10" s="50" t="s">
        <v>45</v>
      </c>
      <c r="D10" s="50" t="s">
        <v>374</v>
      </c>
      <c r="E10" s="50" t="s">
        <v>61</v>
      </c>
      <c r="F10" s="50" t="s">
        <v>286</v>
      </c>
      <c r="G10" s="50" t="s">
        <v>73</v>
      </c>
      <c r="H10" s="50" t="s">
        <v>422</v>
      </c>
      <c r="I10" s="50" t="s">
        <v>81</v>
      </c>
      <c r="J10" s="50" t="s">
        <v>286</v>
      </c>
      <c r="K10" s="50" t="s">
        <v>287</v>
      </c>
      <c r="L10" s="50" t="s">
        <v>336</v>
      </c>
      <c r="M10" s="50" t="s">
        <v>316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5</v>
      </c>
      <c r="AH10" s="111">
        <v>5</v>
      </c>
      <c r="AI10" s="111">
        <v>5</v>
      </c>
      <c r="AJ10" s="111">
        <v>5</v>
      </c>
      <c r="AK10" s="111">
        <v>5</v>
      </c>
      <c r="AL10" s="111">
        <v>5</v>
      </c>
      <c r="AM10" s="111">
        <v>5</v>
      </c>
      <c r="AN10" s="111">
        <v>5</v>
      </c>
      <c r="AO10" s="111">
        <v>5</v>
      </c>
      <c r="AP10" s="111">
        <v>5</v>
      </c>
      <c r="AQ10" s="111">
        <v>5</v>
      </c>
      <c r="AR10" s="111">
        <v>5</v>
      </c>
      <c r="AS10" s="111">
        <v>5</v>
      </c>
      <c r="AT10" s="111">
        <v>5</v>
      </c>
      <c r="AU10" s="111">
        <v>5</v>
      </c>
      <c r="AV10" s="50" t="s">
        <v>199</v>
      </c>
      <c r="AW10" s="50" t="s">
        <v>199</v>
      </c>
      <c r="AX10" s="50" t="s">
        <v>199</v>
      </c>
      <c r="AY10" s="50" t="s">
        <v>200</v>
      </c>
      <c r="AZ10" s="50" t="s">
        <v>200</v>
      </c>
      <c r="BA10" s="50" t="s">
        <v>200</v>
      </c>
      <c r="BB10" s="50" t="s">
        <v>200</v>
      </c>
      <c r="BC10" s="50" t="s">
        <v>200</v>
      </c>
      <c r="BD10" s="50" t="s">
        <v>200</v>
      </c>
      <c r="BE10" s="50" t="s">
        <v>200</v>
      </c>
      <c r="BF10" s="50" t="s">
        <v>200</v>
      </c>
      <c r="BG10" s="50" t="s">
        <v>200</v>
      </c>
      <c r="BH10" s="50" t="s">
        <v>200</v>
      </c>
      <c r="BI10" s="50" t="s">
        <v>200</v>
      </c>
      <c r="BJ10" s="50" t="s">
        <v>200</v>
      </c>
      <c r="BK10" s="50" t="s">
        <v>200</v>
      </c>
      <c r="BL10" s="50" t="s">
        <v>200</v>
      </c>
      <c r="BM10" s="50" t="s">
        <v>436</v>
      </c>
      <c r="BN10" s="50" t="s">
        <v>318</v>
      </c>
      <c r="BO10" s="50" t="s">
        <v>91</v>
      </c>
      <c r="BP10" s="50" t="s">
        <v>286</v>
      </c>
      <c r="BQ10" s="50" t="s">
        <v>287</v>
      </c>
      <c r="BR10" s="50" t="s">
        <v>403</v>
      </c>
      <c r="BS10" s="111">
        <v>5</v>
      </c>
      <c r="BT10" s="50" t="s">
        <v>286</v>
      </c>
      <c r="BU10" s="50" t="s">
        <v>312</v>
      </c>
      <c r="BV10" s="50" t="s">
        <v>288</v>
      </c>
      <c r="BW10" s="50" t="s">
        <v>304</v>
      </c>
      <c r="BX10" s="50" t="s">
        <v>290</v>
      </c>
      <c r="BY10" s="50" t="s">
        <v>288</v>
      </c>
      <c r="BZ10" s="50" t="s">
        <v>287</v>
      </c>
      <c r="CA10" s="50"/>
      <c r="CB10" s="50" t="s">
        <v>287</v>
      </c>
      <c r="CC10" s="50" t="s">
        <v>287</v>
      </c>
      <c r="CD10" s="50" t="s">
        <v>287</v>
      </c>
      <c r="CE10" s="50"/>
      <c r="CF10" s="50" t="s">
        <v>287</v>
      </c>
      <c r="CG10" s="50" t="s">
        <v>287</v>
      </c>
      <c r="CH10" s="50" t="s">
        <v>486</v>
      </c>
      <c r="CI10" s="50" t="s">
        <v>287</v>
      </c>
      <c r="CJ10" s="50"/>
      <c r="CK10" s="50"/>
      <c r="CL10" s="50"/>
      <c r="CM10" s="50"/>
      <c r="CN10" s="50"/>
      <c r="CO10" s="50"/>
      <c r="CP10" s="50"/>
      <c r="CQ10" s="50"/>
      <c r="CR10" s="50"/>
      <c r="CS10" s="50"/>
    </row>
    <row r="11" spans="1:97" ht="36.75" customHeight="1" thickBot="1">
      <c r="A11" s="49">
        <v>46083.367986111109</v>
      </c>
      <c r="B11" s="50" t="s">
        <v>40</v>
      </c>
      <c r="C11" s="50" t="s">
        <v>45</v>
      </c>
      <c r="D11" s="50" t="s">
        <v>374</v>
      </c>
      <c r="E11" s="50" t="s">
        <v>61</v>
      </c>
      <c r="F11" s="50" t="s">
        <v>286</v>
      </c>
      <c r="G11" s="50" t="s">
        <v>292</v>
      </c>
      <c r="H11" s="50" t="s">
        <v>324</v>
      </c>
      <c r="I11" s="50" t="s">
        <v>81</v>
      </c>
      <c r="J11" s="50" t="s">
        <v>286</v>
      </c>
      <c r="K11" s="50" t="s">
        <v>287</v>
      </c>
      <c r="L11" s="50" t="s">
        <v>336</v>
      </c>
      <c r="M11" s="50" t="s">
        <v>316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5</v>
      </c>
      <c r="AL11" s="111">
        <v>5</v>
      </c>
      <c r="AM11" s="111">
        <v>5</v>
      </c>
      <c r="AN11" s="111">
        <v>5</v>
      </c>
      <c r="AO11" s="111">
        <v>5</v>
      </c>
      <c r="AP11" s="111">
        <v>5</v>
      </c>
      <c r="AQ11" s="111">
        <v>5</v>
      </c>
      <c r="AR11" s="111">
        <v>5</v>
      </c>
      <c r="AS11" s="111">
        <v>5</v>
      </c>
      <c r="AT11" s="111">
        <v>5</v>
      </c>
      <c r="AU11" s="111">
        <v>5</v>
      </c>
      <c r="AV11" s="50" t="s">
        <v>199</v>
      </c>
      <c r="AW11" s="50" t="s">
        <v>199</v>
      </c>
      <c r="AX11" s="50" t="s">
        <v>199</v>
      </c>
      <c r="AY11" s="50" t="s">
        <v>200</v>
      </c>
      <c r="AZ11" s="50" t="s">
        <v>200</v>
      </c>
      <c r="BA11" s="50" t="s">
        <v>200</v>
      </c>
      <c r="BB11" s="50" t="s">
        <v>200</v>
      </c>
      <c r="BC11" s="50" t="s">
        <v>200</v>
      </c>
      <c r="BD11" s="50" t="s">
        <v>200</v>
      </c>
      <c r="BE11" s="50" t="s">
        <v>200</v>
      </c>
      <c r="BF11" s="50" t="s">
        <v>200</v>
      </c>
      <c r="BG11" s="50" t="s">
        <v>200</v>
      </c>
      <c r="BH11" s="50" t="s">
        <v>200</v>
      </c>
      <c r="BI11" s="50" t="s">
        <v>200</v>
      </c>
      <c r="BJ11" s="50" t="s">
        <v>200</v>
      </c>
      <c r="BK11" s="50" t="s">
        <v>200</v>
      </c>
      <c r="BL11" s="50" t="s">
        <v>200</v>
      </c>
      <c r="BM11" s="50" t="s">
        <v>436</v>
      </c>
      <c r="BN11" s="50" t="s">
        <v>318</v>
      </c>
      <c r="BO11" s="50" t="s">
        <v>91</v>
      </c>
      <c r="BP11" s="50" t="s">
        <v>286</v>
      </c>
      <c r="BQ11" s="50" t="s">
        <v>287</v>
      </c>
      <c r="BR11" s="50" t="s">
        <v>407</v>
      </c>
      <c r="BS11" s="111">
        <v>5</v>
      </c>
      <c r="BT11" s="50" t="s">
        <v>286</v>
      </c>
      <c r="BU11" s="50" t="s">
        <v>312</v>
      </c>
      <c r="BV11" s="50" t="s">
        <v>288</v>
      </c>
      <c r="BW11" s="50" t="s">
        <v>303</v>
      </c>
      <c r="BX11" s="50" t="s">
        <v>294</v>
      </c>
      <c r="BY11" s="50" t="s">
        <v>288</v>
      </c>
      <c r="BZ11" s="50" t="s">
        <v>287</v>
      </c>
      <c r="CA11" s="50"/>
      <c r="CB11" s="50" t="s">
        <v>287</v>
      </c>
      <c r="CC11" s="50" t="s">
        <v>287</v>
      </c>
      <c r="CD11" s="50" t="s">
        <v>287</v>
      </c>
      <c r="CE11" s="50"/>
      <c r="CF11" s="50" t="s">
        <v>287</v>
      </c>
      <c r="CG11" s="50" t="s">
        <v>287</v>
      </c>
      <c r="CH11" s="50" t="s">
        <v>486</v>
      </c>
      <c r="CI11" s="50" t="s">
        <v>287</v>
      </c>
      <c r="CJ11" s="50"/>
      <c r="CK11" s="50"/>
      <c r="CL11" s="50"/>
      <c r="CM11" s="50"/>
      <c r="CN11" s="50"/>
      <c r="CO11" s="50"/>
      <c r="CP11" s="50"/>
      <c r="CQ11" s="50"/>
      <c r="CR11" s="50"/>
      <c r="CS11" s="50"/>
    </row>
    <row r="12" spans="1:97" ht="36.75" customHeight="1" thickBot="1">
      <c r="A12" s="49">
        <v>46083.370335648149</v>
      </c>
      <c r="B12" s="50" t="s">
        <v>40</v>
      </c>
      <c r="C12" s="50" t="s">
        <v>45</v>
      </c>
      <c r="D12" s="50" t="s">
        <v>374</v>
      </c>
      <c r="E12" s="50" t="s">
        <v>62</v>
      </c>
      <c r="F12" s="50" t="s">
        <v>286</v>
      </c>
      <c r="G12" s="50" t="s">
        <v>73</v>
      </c>
      <c r="H12" s="50" t="s">
        <v>354</v>
      </c>
      <c r="I12" s="50" t="s">
        <v>81</v>
      </c>
      <c r="J12" s="50" t="s">
        <v>286</v>
      </c>
      <c r="K12" s="50" t="s">
        <v>287</v>
      </c>
      <c r="L12" s="50" t="s">
        <v>344</v>
      </c>
      <c r="M12" s="50" t="s">
        <v>316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5</v>
      </c>
      <c r="AH12" s="111">
        <v>5</v>
      </c>
      <c r="AI12" s="111">
        <v>5</v>
      </c>
      <c r="AJ12" s="111">
        <v>5</v>
      </c>
      <c r="AK12" s="111">
        <v>5</v>
      </c>
      <c r="AL12" s="111">
        <v>5</v>
      </c>
      <c r="AM12" s="111">
        <v>5</v>
      </c>
      <c r="AN12" s="111">
        <v>5</v>
      </c>
      <c r="AO12" s="111">
        <v>5</v>
      </c>
      <c r="AP12" s="111">
        <v>5</v>
      </c>
      <c r="AQ12" s="111">
        <v>5</v>
      </c>
      <c r="AR12" s="111">
        <v>5</v>
      </c>
      <c r="AS12" s="111">
        <v>5</v>
      </c>
      <c r="AT12" s="111">
        <v>5</v>
      </c>
      <c r="AU12" s="111">
        <v>5</v>
      </c>
      <c r="AV12" s="50" t="s">
        <v>199</v>
      </c>
      <c r="AW12" s="50" t="s">
        <v>199</v>
      </c>
      <c r="AX12" s="50" t="s">
        <v>199</v>
      </c>
      <c r="AY12" s="50" t="s">
        <v>200</v>
      </c>
      <c r="AZ12" s="50" t="s">
        <v>200</v>
      </c>
      <c r="BA12" s="50" t="s">
        <v>200</v>
      </c>
      <c r="BB12" s="50" t="s">
        <v>200</v>
      </c>
      <c r="BC12" s="50" t="s">
        <v>200</v>
      </c>
      <c r="BD12" s="50" t="s">
        <v>200</v>
      </c>
      <c r="BE12" s="50" t="s">
        <v>200</v>
      </c>
      <c r="BF12" s="50" t="s">
        <v>200</v>
      </c>
      <c r="BG12" s="50" t="s">
        <v>200</v>
      </c>
      <c r="BH12" s="50" t="s">
        <v>200</v>
      </c>
      <c r="BI12" s="50" t="s">
        <v>200</v>
      </c>
      <c r="BJ12" s="50" t="s">
        <v>200</v>
      </c>
      <c r="BK12" s="50" t="s">
        <v>200</v>
      </c>
      <c r="BL12" s="50" t="s">
        <v>200</v>
      </c>
      <c r="BM12" s="50" t="s">
        <v>436</v>
      </c>
      <c r="BN12" s="50" t="s">
        <v>318</v>
      </c>
      <c r="BO12" s="50" t="s">
        <v>91</v>
      </c>
      <c r="BP12" s="50" t="s">
        <v>286</v>
      </c>
      <c r="BQ12" s="50" t="s">
        <v>287</v>
      </c>
      <c r="BR12" s="50" t="s">
        <v>403</v>
      </c>
      <c r="BS12" s="111">
        <v>5</v>
      </c>
      <c r="BT12" s="50" t="s">
        <v>286</v>
      </c>
      <c r="BU12" s="50" t="s">
        <v>312</v>
      </c>
      <c r="BV12" s="50" t="s">
        <v>288</v>
      </c>
      <c r="BW12" s="50" t="s">
        <v>304</v>
      </c>
      <c r="BX12" s="50" t="s">
        <v>290</v>
      </c>
      <c r="BY12" s="50" t="s">
        <v>288</v>
      </c>
      <c r="BZ12" s="50" t="s">
        <v>287</v>
      </c>
      <c r="CA12" s="50"/>
      <c r="CB12" s="50" t="s">
        <v>287</v>
      </c>
      <c r="CC12" s="50" t="s">
        <v>287</v>
      </c>
      <c r="CD12" s="50" t="s">
        <v>287</v>
      </c>
      <c r="CE12" s="50"/>
      <c r="CF12" s="50" t="s">
        <v>287</v>
      </c>
      <c r="CG12" s="50" t="s">
        <v>287</v>
      </c>
      <c r="CH12" s="50" t="s">
        <v>486</v>
      </c>
      <c r="CI12" s="50" t="s">
        <v>287</v>
      </c>
      <c r="CJ12" s="50"/>
      <c r="CK12" s="50"/>
      <c r="CL12" s="50"/>
      <c r="CM12" s="50"/>
      <c r="CN12" s="50"/>
      <c r="CO12" s="50"/>
      <c r="CP12" s="50"/>
      <c r="CQ12" s="50"/>
      <c r="CR12" s="50"/>
      <c r="CS12" s="50"/>
    </row>
    <row r="13" spans="1:97" ht="36.75" customHeight="1" thickBot="1">
      <c r="A13" s="49">
        <v>46083.372430555559</v>
      </c>
      <c r="B13" s="50" t="s">
        <v>40</v>
      </c>
      <c r="C13" s="50" t="s">
        <v>45</v>
      </c>
      <c r="D13" s="50" t="s">
        <v>369</v>
      </c>
      <c r="E13" s="50" t="s">
        <v>285</v>
      </c>
      <c r="F13" s="50" t="s">
        <v>286</v>
      </c>
      <c r="G13" s="50" t="s">
        <v>73</v>
      </c>
      <c r="H13" s="50" t="s">
        <v>331</v>
      </c>
      <c r="I13" s="50" t="s">
        <v>81</v>
      </c>
      <c r="J13" s="50" t="s">
        <v>286</v>
      </c>
      <c r="K13" s="50" t="s">
        <v>287</v>
      </c>
      <c r="L13" s="50" t="s">
        <v>336</v>
      </c>
      <c r="M13" s="50" t="s">
        <v>319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5</v>
      </c>
      <c r="AH13" s="111">
        <v>5</v>
      </c>
      <c r="AI13" s="111">
        <v>5</v>
      </c>
      <c r="AJ13" s="111">
        <v>5</v>
      </c>
      <c r="AK13" s="111">
        <v>5</v>
      </c>
      <c r="AL13" s="111">
        <v>5</v>
      </c>
      <c r="AM13" s="111">
        <v>5</v>
      </c>
      <c r="AN13" s="111">
        <v>5</v>
      </c>
      <c r="AO13" s="111">
        <v>5</v>
      </c>
      <c r="AP13" s="111">
        <v>5</v>
      </c>
      <c r="AQ13" s="111">
        <v>5</v>
      </c>
      <c r="AR13" s="111">
        <v>5</v>
      </c>
      <c r="AS13" s="111">
        <v>5</v>
      </c>
      <c r="AT13" s="111">
        <v>5</v>
      </c>
      <c r="AU13" s="111">
        <v>5</v>
      </c>
      <c r="AV13" s="50" t="s">
        <v>199</v>
      </c>
      <c r="AW13" s="50" t="s">
        <v>199</v>
      </c>
      <c r="AX13" s="50" t="s">
        <v>199</v>
      </c>
      <c r="AY13" s="50" t="s">
        <v>200</v>
      </c>
      <c r="AZ13" s="50" t="s">
        <v>200</v>
      </c>
      <c r="BA13" s="50" t="s">
        <v>200</v>
      </c>
      <c r="BB13" s="50" t="s">
        <v>200</v>
      </c>
      <c r="BC13" s="50" t="s">
        <v>200</v>
      </c>
      <c r="BD13" s="50" t="s">
        <v>200</v>
      </c>
      <c r="BE13" s="50" t="s">
        <v>200</v>
      </c>
      <c r="BF13" s="50" t="s">
        <v>200</v>
      </c>
      <c r="BG13" s="50" t="s">
        <v>200</v>
      </c>
      <c r="BH13" s="50" t="s">
        <v>200</v>
      </c>
      <c r="BI13" s="50" t="s">
        <v>200</v>
      </c>
      <c r="BJ13" s="50" t="s">
        <v>200</v>
      </c>
      <c r="BK13" s="50" t="s">
        <v>200</v>
      </c>
      <c r="BL13" s="50" t="s">
        <v>200</v>
      </c>
      <c r="BM13" s="50" t="s">
        <v>436</v>
      </c>
      <c r="BN13" s="50" t="s">
        <v>318</v>
      </c>
      <c r="BO13" s="50" t="s">
        <v>91</v>
      </c>
      <c r="BP13" s="50" t="s">
        <v>286</v>
      </c>
      <c r="BQ13" s="50" t="s">
        <v>287</v>
      </c>
      <c r="BR13" s="50" t="s">
        <v>407</v>
      </c>
      <c r="BS13" s="111">
        <v>5</v>
      </c>
      <c r="BT13" s="50" t="s">
        <v>286</v>
      </c>
      <c r="BU13" s="50" t="s">
        <v>312</v>
      </c>
      <c r="BV13" s="50" t="s">
        <v>288</v>
      </c>
      <c r="BW13" s="50" t="s">
        <v>304</v>
      </c>
      <c r="BX13" s="50" t="s">
        <v>290</v>
      </c>
      <c r="BY13" s="50" t="s">
        <v>288</v>
      </c>
      <c r="BZ13" s="50" t="s">
        <v>287</v>
      </c>
      <c r="CA13" s="50"/>
      <c r="CB13" s="50" t="s">
        <v>287</v>
      </c>
      <c r="CC13" s="50" t="s">
        <v>287</v>
      </c>
      <c r="CD13" s="50" t="s">
        <v>287</v>
      </c>
      <c r="CE13" s="50"/>
      <c r="CF13" s="50" t="s">
        <v>287</v>
      </c>
      <c r="CG13" s="50" t="s">
        <v>287</v>
      </c>
      <c r="CH13" s="50" t="s">
        <v>486</v>
      </c>
      <c r="CI13" s="50" t="s">
        <v>287</v>
      </c>
      <c r="CJ13" s="50"/>
      <c r="CK13" s="50"/>
      <c r="CL13" s="50"/>
      <c r="CM13" s="50"/>
      <c r="CN13" s="50"/>
      <c r="CO13" s="50"/>
      <c r="CP13" s="50"/>
      <c r="CQ13" s="50"/>
      <c r="CR13" s="50"/>
      <c r="CS13" s="50"/>
    </row>
    <row r="14" spans="1:97" ht="36.75" customHeight="1" thickBot="1">
      <c r="A14" s="49">
        <v>46083.376030092593</v>
      </c>
      <c r="B14" s="50" t="s">
        <v>40</v>
      </c>
      <c r="C14" s="50" t="s">
        <v>45</v>
      </c>
      <c r="D14" s="50" t="s">
        <v>369</v>
      </c>
      <c r="E14" s="50" t="s">
        <v>61</v>
      </c>
      <c r="F14" s="50" t="s">
        <v>286</v>
      </c>
      <c r="G14" s="50" t="s">
        <v>73</v>
      </c>
      <c r="H14" s="50" t="s">
        <v>336</v>
      </c>
      <c r="I14" s="50" t="s">
        <v>81</v>
      </c>
      <c r="J14" s="50" t="s">
        <v>286</v>
      </c>
      <c r="K14" s="50" t="s">
        <v>287</v>
      </c>
      <c r="L14" s="50" t="s">
        <v>336</v>
      </c>
      <c r="M14" s="50" t="s">
        <v>319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5</v>
      </c>
      <c r="AH14" s="111">
        <v>5</v>
      </c>
      <c r="AI14" s="111">
        <v>5</v>
      </c>
      <c r="AJ14" s="111">
        <v>5</v>
      </c>
      <c r="AK14" s="111">
        <v>5</v>
      </c>
      <c r="AL14" s="111">
        <v>5</v>
      </c>
      <c r="AM14" s="111">
        <v>5</v>
      </c>
      <c r="AN14" s="111">
        <v>5</v>
      </c>
      <c r="AO14" s="111">
        <v>5</v>
      </c>
      <c r="AP14" s="111">
        <v>5</v>
      </c>
      <c r="AQ14" s="111">
        <v>5</v>
      </c>
      <c r="AR14" s="111">
        <v>5</v>
      </c>
      <c r="AS14" s="111">
        <v>5</v>
      </c>
      <c r="AT14" s="111">
        <v>5</v>
      </c>
      <c r="AU14" s="111">
        <v>5</v>
      </c>
      <c r="AV14" s="50" t="s">
        <v>199</v>
      </c>
      <c r="AW14" s="50" t="s">
        <v>199</v>
      </c>
      <c r="AX14" s="50" t="s">
        <v>199</v>
      </c>
      <c r="AY14" s="50" t="s">
        <v>200</v>
      </c>
      <c r="AZ14" s="50" t="s">
        <v>200</v>
      </c>
      <c r="BA14" s="50" t="s">
        <v>200</v>
      </c>
      <c r="BB14" s="50" t="s">
        <v>200</v>
      </c>
      <c r="BC14" s="50" t="s">
        <v>200</v>
      </c>
      <c r="BD14" s="50" t="s">
        <v>200</v>
      </c>
      <c r="BE14" s="50" t="s">
        <v>200</v>
      </c>
      <c r="BF14" s="50" t="s">
        <v>200</v>
      </c>
      <c r="BG14" s="50" t="s">
        <v>200</v>
      </c>
      <c r="BH14" s="50" t="s">
        <v>200</v>
      </c>
      <c r="BI14" s="50" t="s">
        <v>200</v>
      </c>
      <c r="BJ14" s="50" t="s">
        <v>200</v>
      </c>
      <c r="BK14" s="50" t="s">
        <v>200</v>
      </c>
      <c r="BL14" s="50" t="s">
        <v>200</v>
      </c>
      <c r="BM14" s="50" t="s">
        <v>436</v>
      </c>
      <c r="BN14" s="50" t="s">
        <v>318</v>
      </c>
      <c r="BO14" s="50" t="s">
        <v>91</v>
      </c>
      <c r="BP14" s="50" t="s">
        <v>286</v>
      </c>
      <c r="BQ14" s="50" t="s">
        <v>287</v>
      </c>
      <c r="BR14" s="50" t="s">
        <v>416</v>
      </c>
      <c r="BS14" s="111">
        <v>5</v>
      </c>
      <c r="BT14" s="50" t="s">
        <v>286</v>
      </c>
      <c r="BU14" s="50" t="s">
        <v>312</v>
      </c>
      <c r="BV14" s="50" t="s">
        <v>288</v>
      </c>
      <c r="BW14" s="50" t="s">
        <v>304</v>
      </c>
      <c r="BX14" s="50" t="s">
        <v>296</v>
      </c>
      <c r="BY14" s="50" t="s">
        <v>288</v>
      </c>
      <c r="BZ14" s="50" t="s">
        <v>287</v>
      </c>
      <c r="CA14" s="50"/>
      <c r="CB14" s="50" t="s">
        <v>287</v>
      </c>
      <c r="CC14" s="50" t="s">
        <v>287</v>
      </c>
      <c r="CD14" s="50" t="s">
        <v>287</v>
      </c>
      <c r="CE14" s="50"/>
      <c r="CF14" s="50" t="s">
        <v>287</v>
      </c>
      <c r="CG14" s="50" t="s">
        <v>287</v>
      </c>
      <c r="CH14" s="50" t="s">
        <v>486</v>
      </c>
      <c r="CI14" s="50" t="s">
        <v>287</v>
      </c>
      <c r="CJ14" s="50"/>
      <c r="CK14" s="50"/>
      <c r="CL14" s="50"/>
      <c r="CM14" s="50"/>
      <c r="CN14" s="50"/>
      <c r="CO14" s="50"/>
      <c r="CP14" s="50"/>
      <c r="CQ14" s="50"/>
      <c r="CR14" s="50"/>
      <c r="CS14" s="50"/>
    </row>
    <row r="15" spans="1:97" ht="36.75" customHeight="1" thickBot="1">
      <c r="A15" s="49">
        <v>46083.379016203704</v>
      </c>
      <c r="B15" s="50" t="s">
        <v>40</v>
      </c>
      <c r="C15" s="50" t="s">
        <v>46</v>
      </c>
      <c r="D15" s="50" t="s">
        <v>374</v>
      </c>
      <c r="E15" s="50" t="s">
        <v>60</v>
      </c>
      <c r="F15" s="50" t="s">
        <v>286</v>
      </c>
      <c r="G15" s="50" t="s">
        <v>73</v>
      </c>
      <c r="H15" s="50" t="s">
        <v>490</v>
      </c>
      <c r="I15" s="50" t="s">
        <v>81</v>
      </c>
      <c r="J15" s="50" t="s">
        <v>286</v>
      </c>
      <c r="K15" s="50" t="s">
        <v>287</v>
      </c>
      <c r="L15" s="50" t="s">
        <v>336</v>
      </c>
      <c r="M15" s="50" t="s">
        <v>319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5</v>
      </c>
      <c r="AH15" s="111">
        <v>5</v>
      </c>
      <c r="AI15" s="111">
        <v>5</v>
      </c>
      <c r="AJ15" s="111">
        <v>5</v>
      </c>
      <c r="AK15" s="111">
        <v>5</v>
      </c>
      <c r="AL15" s="111">
        <v>5</v>
      </c>
      <c r="AM15" s="111">
        <v>5</v>
      </c>
      <c r="AN15" s="111">
        <v>5</v>
      </c>
      <c r="AO15" s="111">
        <v>5</v>
      </c>
      <c r="AP15" s="111">
        <v>5</v>
      </c>
      <c r="AQ15" s="111">
        <v>5</v>
      </c>
      <c r="AR15" s="111">
        <v>5</v>
      </c>
      <c r="AS15" s="111">
        <v>5</v>
      </c>
      <c r="AT15" s="111">
        <v>5</v>
      </c>
      <c r="AU15" s="111">
        <v>5</v>
      </c>
      <c r="AV15" s="50" t="s">
        <v>199</v>
      </c>
      <c r="AW15" s="50" t="s">
        <v>199</v>
      </c>
      <c r="AX15" s="50" t="s">
        <v>199</v>
      </c>
      <c r="AY15" s="50" t="s">
        <v>200</v>
      </c>
      <c r="AZ15" s="50" t="s">
        <v>200</v>
      </c>
      <c r="BA15" s="50" t="s">
        <v>200</v>
      </c>
      <c r="BB15" s="50" t="s">
        <v>200</v>
      </c>
      <c r="BC15" s="50" t="s">
        <v>200</v>
      </c>
      <c r="BD15" s="50" t="s">
        <v>200</v>
      </c>
      <c r="BE15" s="50" t="s">
        <v>200</v>
      </c>
      <c r="BF15" s="50" t="s">
        <v>200</v>
      </c>
      <c r="BG15" s="50" t="s">
        <v>200</v>
      </c>
      <c r="BH15" s="50" t="s">
        <v>200</v>
      </c>
      <c r="BI15" s="50" t="s">
        <v>200</v>
      </c>
      <c r="BJ15" s="50" t="s">
        <v>200</v>
      </c>
      <c r="BK15" s="50" t="s">
        <v>200</v>
      </c>
      <c r="BL15" s="50" t="s">
        <v>200</v>
      </c>
      <c r="BM15" s="50" t="s">
        <v>436</v>
      </c>
      <c r="BN15" s="50" t="s">
        <v>286</v>
      </c>
      <c r="BO15" s="50" t="s">
        <v>91</v>
      </c>
      <c r="BP15" s="50" t="s">
        <v>286</v>
      </c>
      <c r="BQ15" s="50" t="s">
        <v>287</v>
      </c>
      <c r="BR15" s="50" t="s">
        <v>412</v>
      </c>
      <c r="BS15" s="111">
        <v>5</v>
      </c>
      <c r="BT15" s="50" t="s">
        <v>286</v>
      </c>
      <c r="BU15" s="50" t="s">
        <v>312</v>
      </c>
      <c r="BV15" s="50" t="s">
        <v>288</v>
      </c>
      <c r="BW15" s="50" t="s">
        <v>303</v>
      </c>
      <c r="BX15" s="50" t="s">
        <v>296</v>
      </c>
      <c r="BY15" s="50" t="s">
        <v>288</v>
      </c>
      <c r="BZ15" s="50" t="s">
        <v>287</v>
      </c>
      <c r="CA15" s="50"/>
      <c r="CB15" s="50" t="s">
        <v>287</v>
      </c>
      <c r="CC15" s="50" t="s">
        <v>287</v>
      </c>
      <c r="CD15" s="50" t="s">
        <v>287</v>
      </c>
      <c r="CE15" s="50"/>
      <c r="CF15" s="50" t="s">
        <v>287</v>
      </c>
      <c r="CG15" s="50" t="s">
        <v>287</v>
      </c>
      <c r="CH15" s="50" t="s">
        <v>486</v>
      </c>
      <c r="CI15" s="50" t="s">
        <v>287</v>
      </c>
      <c r="CJ15" s="50"/>
      <c r="CK15" s="50"/>
      <c r="CL15" s="50"/>
      <c r="CM15" s="50"/>
      <c r="CN15" s="50"/>
      <c r="CO15" s="50"/>
      <c r="CP15" s="50"/>
      <c r="CQ15" s="50"/>
      <c r="CR15" s="50"/>
      <c r="CS15" s="50"/>
    </row>
    <row r="16" spans="1:97" ht="36.75" customHeight="1" thickBot="1">
      <c r="A16" s="49">
        <v>46083.381493055553</v>
      </c>
      <c r="B16" s="50" t="s">
        <v>40</v>
      </c>
      <c r="C16" s="50" t="s">
        <v>45</v>
      </c>
      <c r="D16" s="50" t="s">
        <v>374</v>
      </c>
      <c r="E16" s="50" t="s">
        <v>61</v>
      </c>
      <c r="F16" s="50" t="s">
        <v>286</v>
      </c>
      <c r="G16" s="50" t="s">
        <v>73</v>
      </c>
      <c r="H16" s="50" t="s">
        <v>326</v>
      </c>
      <c r="I16" s="50" t="s">
        <v>81</v>
      </c>
      <c r="J16" s="50" t="s">
        <v>286</v>
      </c>
      <c r="K16" s="50" t="s">
        <v>287</v>
      </c>
      <c r="L16" s="50" t="s">
        <v>336</v>
      </c>
      <c r="M16" s="50" t="s">
        <v>319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5</v>
      </c>
      <c r="AH16" s="111">
        <v>5</v>
      </c>
      <c r="AI16" s="111">
        <v>5</v>
      </c>
      <c r="AJ16" s="111">
        <v>5</v>
      </c>
      <c r="AK16" s="111">
        <v>5</v>
      </c>
      <c r="AL16" s="111">
        <v>5</v>
      </c>
      <c r="AM16" s="111">
        <v>5</v>
      </c>
      <c r="AN16" s="111">
        <v>5</v>
      </c>
      <c r="AO16" s="111">
        <v>5</v>
      </c>
      <c r="AP16" s="111">
        <v>5</v>
      </c>
      <c r="AQ16" s="111">
        <v>5</v>
      </c>
      <c r="AR16" s="111">
        <v>5</v>
      </c>
      <c r="AS16" s="111">
        <v>5</v>
      </c>
      <c r="AT16" s="111">
        <v>5</v>
      </c>
      <c r="AU16" s="111">
        <v>5</v>
      </c>
      <c r="AV16" s="50" t="s">
        <v>199</v>
      </c>
      <c r="AW16" s="50" t="s">
        <v>199</v>
      </c>
      <c r="AX16" s="50" t="s">
        <v>199</v>
      </c>
      <c r="AY16" s="50" t="s">
        <v>200</v>
      </c>
      <c r="AZ16" s="50" t="s">
        <v>200</v>
      </c>
      <c r="BA16" s="50" t="s">
        <v>200</v>
      </c>
      <c r="BB16" s="50" t="s">
        <v>200</v>
      </c>
      <c r="BC16" s="50" t="s">
        <v>200</v>
      </c>
      <c r="BD16" s="50" t="s">
        <v>200</v>
      </c>
      <c r="BE16" s="50" t="s">
        <v>200</v>
      </c>
      <c r="BF16" s="50" t="s">
        <v>200</v>
      </c>
      <c r="BG16" s="50" t="s">
        <v>200</v>
      </c>
      <c r="BH16" s="50" t="s">
        <v>200</v>
      </c>
      <c r="BI16" s="50" t="s">
        <v>200</v>
      </c>
      <c r="BJ16" s="50" t="s">
        <v>200</v>
      </c>
      <c r="BK16" s="50" t="s">
        <v>200</v>
      </c>
      <c r="BL16" s="50" t="s">
        <v>200</v>
      </c>
      <c r="BM16" s="50" t="s">
        <v>436</v>
      </c>
      <c r="BN16" s="50" t="s">
        <v>318</v>
      </c>
      <c r="BO16" s="50" t="s">
        <v>91</v>
      </c>
      <c r="BP16" s="50" t="s">
        <v>286</v>
      </c>
      <c r="BQ16" s="50" t="s">
        <v>287</v>
      </c>
      <c r="BR16" s="50" t="s">
        <v>407</v>
      </c>
      <c r="BS16" s="111">
        <v>5</v>
      </c>
      <c r="BT16" s="50" t="s">
        <v>286</v>
      </c>
      <c r="BU16" s="50" t="s">
        <v>312</v>
      </c>
      <c r="BV16" s="50" t="s">
        <v>288</v>
      </c>
      <c r="BW16" s="50" t="s">
        <v>289</v>
      </c>
      <c r="BX16" s="50" t="s">
        <v>290</v>
      </c>
      <c r="BY16" s="50" t="s">
        <v>288</v>
      </c>
      <c r="BZ16" s="50" t="s">
        <v>287</v>
      </c>
      <c r="CA16" s="50"/>
      <c r="CB16" s="50" t="s">
        <v>287</v>
      </c>
      <c r="CC16" s="50" t="s">
        <v>287</v>
      </c>
      <c r="CD16" s="50" t="s">
        <v>287</v>
      </c>
      <c r="CE16" s="50"/>
      <c r="CF16" s="50" t="s">
        <v>287</v>
      </c>
      <c r="CG16" s="50" t="s">
        <v>287</v>
      </c>
      <c r="CH16" s="50" t="s">
        <v>486</v>
      </c>
      <c r="CI16" s="50" t="s">
        <v>287</v>
      </c>
      <c r="CJ16" s="50"/>
      <c r="CK16" s="50"/>
      <c r="CL16" s="50"/>
      <c r="CM16" s="50"/>
      <c r="CN16" s="50"/>
      <c r="CO16" s="50"/>
      <c r="CP16" s="50"/>
      <c r="CQ16" s="50"/>
      <c r="CR16" s="50"/>
      <c r="CS16" s="50"/>
    </row>
    <row r="17" spans="1:97" ht="36.75" customHeight="1" thickBot="1">
      <c r="A17" s="49">
        <v>46083.385231481479</v>
      </c>
      <c r="B17" s="50" t="s">
        <v>40</v>
      </c>
      <c r="C17" s="50" t="s">
        <v>45</v>
      </c>
      <c r="D17" s="50" t="s">
        <v>374</v>
      </c>
      <c r="E17" s="50" t="s">
        <v>61</v>
      </c>
      <c r="F17" s="50" t="s">
        <v>286</v>
      </c>
      <c r="G17" s="50" t="s">
        <v>73</v>
      </c>
      <c r="H17" s="50" t="s">
        <v>491</v>
      </c>
      <c r="I17" s="50" t="s">
        <v>81</v>
      </c>
      <c r="J17" s="50" t="s">
        <v>286</v>
      </c>
      <c r="K17" s="50" t="s">
        <v>287</v>
      </c>
      <c r="L17" s="50" t="s">
        <v>336</v>
      </c>
      <c r="M17" s="50" t="s">
        <v>7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5</v>
      </c>
      <c r="AH17" s="111">
        <v>5</v>
      </c>
      <c r="AI17" s="111">
        <v>5</v>
      </c>
      <c r="AJ17" s="111">
        <v>5</v>
      </c>
      <c r="AK17" s="111">
        <v>5</v>
      </c>
      <c r="AL17" s="111">
        <v>5</v>
      </c>
      <c r="AM17" s="111">
        <v>5</v>
      </c>
      <c r="AN17" s="111">
        <v>5</v>
      </c>
      <c r="AO17" s="111">
        <v>5</v>
      </c>
      <c r="AP17" s="111">
        <v>5</v>
      </c>
      <c r="AQ17" s="111">
        <v>5</v>
      </c>
      <c r="AR17" s="111">
        <v>5</v>
      </c>
      <c r="AS17" s="111">
        <v>5</v>
      </c>
      <c r="AT17" s="111">
        <v>5</v>
      </c>
      <c r="AU17" s="111">
        <v>5</v>
      </c>
      <c r="AV17" s="50" t="s">
        <v>199</v>
      </c>
      <c r="AW17" s="50" t="s">
        <v>199</v>
      </c>
      <c r="AX17" s="50" t="s">
        <v>199</v>
      </c>
      <c r="AY17" s="50" t="s">
        <v>200</v>
      </c>
      <c r="AZ17" s="50" t="s">
        <v>200</v>
      </c>
      <c r="BA17" s="50" t="s">
        <v>200</v>
      </c>
      <c r="BB17" s="50" t="s">
        <v>200</v>
      </c>
      <c r="BC17" s="50" t="s">
        <v>200</v>
      </c>
      <c r="BD17" s="50" t="s">
        <v>200</v>
      </c>
      <c r="BE17" s="50" t="s">
        <v>200</v>
      </c>
      <c r="BF17" s="50" t="s">
        <v>200</v>
      </c>
      <c r="BG17" s="50" t="s">
        <v>200</v>
      </c>
      <c r="BH17" s="50" t="s">
        <v>200</v>
      </c>
      <c r="BI17" s="50" t="s">
        <v>200</v>
      </c>
      <c r="BJ17" s="50" t="s">
        <v>200</v>
      </c>
      <c r="BK17" s="50" t="s">
        <v>200</v>
      </c>
      <c r="BL17" s="50" t="s">
        <v>200</v>
      </c>
      <c r="BM17" s="50" t="s">
        <v>436</v>
      </c>
      <c r="BN17" s="50" t="s">
        <v>318</v>
      </c>
      <c r="BO17" s="50" t="s">
        <v>91</v>
      </c>
      <c r="BP17" s="50" t="s">
        <v>286</v>
      </c>
      <c r="BQ17" s="50" t="s">
        <v>287</v>
      </c>
      <c r="BR17" s="50" t="s">
        <v>406</v>
      </c>
      <c r="BS17" s="111">
        <v>5</v>
      </c>
      <c r="BT17" s="50" t="s">
        <v>286</v>
      </c>
      <c r="BU17" s="50" t="s">
        <v>312</v>
      </c>
      <c r="BV17" s="50" t="s">
        <v>288</v>
      </c>
      <c r="BW17" s="50" t="s">
        <v>303</v>
      </c>
      <c r="BX17" s="50" t="s">
        <v>290</v>
      </c>
      <c r="BY17" s="50" t="s">
        <v>288</v>
      </c>
      <c r="BZ17" s="50" t="s">
        <v>287</v>
      </c>
      <c r="CA17" s="50"/>
      <c r="CB17" s="50" t="s">
        <v>287</v>
      </c>
      <c r="CC17" s="50" t="s">
        <v>287</v>
      </c>
      <c r="CD17" s="50" t="s">
        <v>287</v>
      </c>
      <c r="CE17" s="50"/>
      <c r="CF17" s="50" t="s">
        <v>287</v>
      </c>
      <c r="CG17" s="50" t="s">
        <v>287</v>
      </c>
      <c r="CH17" s="50" t="s">
        <v>486</v>
      </c>
      <c r="CI17" s="50" t="s">
        <v>287</v>
      </c>
      <c r="CJ17" s="50"/>
      <c r="CK17" s="50"/>
      <c r="CL17" s="50"/>
      <c r="CM17" s="50"/>
      <c r="CN17" s="50"/>
      <c r="CO17" s="50"/>
      <c r="CP17" s="50"/>
      <c r="CQ17" s="50"/>
      <c r="CR17" s="50"/>
      <c r="CS17" s="50"/>
    </row>
    <row r="18" spans="1:97" ht="36.75" customHeight="1" thickBot="1">
      <c r="A18" s="49">
        <v>46083.42423611111</v>
      </c>
      <c r="B18" s="50" t="s">
        <v>40</v>
      </c>
      <c r="C18" s="50" t="s">
        <v>45</v>
      </c>
      <c r="D18" s="50" t="s">
        <v>369</v>
      </c>
      <c r="E18" s="50" t="s">
        <v>61</v>
      </c>
      <c r="F18" s="50" t="s">
        <v>286</v>
      </c>
      <c r="G18" s="50" t="s">
        <v>292</v>
      </c>
      <c r="H18" s="50" t="s">
        <v>338</v>
      </c>
      <c r="I18" s="50" t="s">
        <v>81</v>
      </c>
      <c r="J18" s="50" t="s">
        <v>286</v>
      </c>
      <c r="K18" s="50" t="s">
        <v>287</v>
      </c>
      <c r="L18" s="50" t="s">
        <v>379</v>
      </c>
      <c r="M18" s="50" t="s">
        <v>370</v>
      </c>
      <c r="N18" s="111">
        <v>5</v>
      </c>
      <c r="O18" s="111">
        <v>5</v>
      </c>
      <c r="P18" s="111">
        <v>5</v>
      </c>
      <c r="Q18" s="111">
        <v>6</v>
      </c>
      <c r="R18" s="111">
        <v>6</v>
      </c>
      <c r="S18" s="111">
        <v>6</v>
      </c>
      <c r="T18" s="111">
        <v>4</v>
      </c>
      <c r="U18" s="111">
        <v>5</v>
      </c>
      <c r="V18" s="111">
        <v>6</v>
      </c>
      <c r="W18" s="111">
        <v>6</v>
      </c>
      <c r="X18" s="111">
        <v>6</v>
      </c>
      <c r="Y18" s="111">
        <v>6</v>
      </c>
      <c r="Z18" s="111">
        <v>6</v>
      </c>
      <c r="AA18" s="111">
        <v>6</v>
      </c>
      <c r="AB18" s="111">
        <v>6</v>
      </c>
      <c r="AC18" s="111">
        <v>5</v>
      </c>
      <c r="AD18" s="111">
        <v>5</v>
      </c>
      <c r="AE18" s="111">
        <v>5</v>
      </c>
      <c r="AF18" s="111">
        <v>5</v>
      </c>
      <c r="AG18" s="111">
        <v>5</v>
      </c>
      <c r="AH18" s="111">
        <v>5</v>
      </c>
      <c r="AI18" s="111">
        <v>5</v>
      </c>
      <c r="AJ18" s="111">
        <v>5</v>
      </c>
      <c r="AK18" s="111">
        <v>5</v>
      </c>
      <c r="AL18" s="111">
        <v>5</v>
      </c>
      <c r="AM18" s="111">
        <v>5</v>
      </c>
      <c r="AN18" s="111">
        <v>5</v>
      </c>
      <c r="AO18" s="111">
        <v>5</v>
      </c>
      <c r="AP18" s="111">
        <v>4</v>
      </c>
      <c r="AQ18" s="111">
        <v>6</v>
      </c>
      <c r="AR18" s="111">
        <v>5</v>
      </c>
      <c r="AS18" s="111">
        <v>5</v>
      </c>
      <c r="AT18" s="111">
        <v>5</v>
      </c>
      <c r="AU18" s="111">
        <v>5</v>
      </c>
      <c r="AV18" s="50" t="s">
        <v>199</v>
      </c>
      <c r="AW18" s="50" t="s">
        <v>202</v>
      </c>
      <c r="AX18" s="50" t="s">
        <v>201</v>
      </c>
      <c r="AY18" s="50" t="s">
        <v>199</v>
      </c>
      <c r="AZ18" s="50" t="s">
        <v>202</v>
      </c>
      <c r="BA18" s="50" t="s">
        <v>202</v>
      </c>
      <c r="BB18" s="50" t="s">
        <v>202</v>
      </c>
      <c r="BC18" s="50" t="s">
        <v>202</v>
      </c>
      <c r="BD18" s="50" t="s">
        <v>202</v>
      </c>
      <c r="BE18" s="50" t="s">
        <v>199</v>
      </c>
      <c r="BF18" s="50" t="s">
        <v>201</v>
      </c>
      <c r="BG18" s="50" t="s">
        <v>202</v>
      </c>
      <c r="BH18" s="50" t="s">
        <v>200</v>
      </c>
      <c r="BI18" s="50" t="s">
        <v>202</v>
      </c>
      <c r="BJ18" s="50" t="s">
        <v>202</v>
      </c>
      <c r="BK18" s="50" t="s">
        <v>202</v>
      </c>
      <c r="BL18" s="50" t="s">
        <v>202</v>
      </c>
      <c r="BM18" s="50" t="s">
        <v>436</v>
      </c>
      <c r="BN18" s="50" t="s">
        <v>318</v>
      </c>
      <c r="BO18" s="50" t="s">
        <v>91</v>
      </c>
      <c r="BP18" s="50" t="s">
        <v>286</v>
      </c>
      <c r="BQ18" s="50" t="s">
        <v>287</v>
      </c>
      <c r="BR18" s="50" t="s">
        <v>372</v>
      </c>
      <c r="BS18" s="111">
        <v>5</v>
      </c>
      <c r="BT18" s="50" t="s">
        <v>286</v>
      </c>
      <c r="BU18" s="50" t="s">
        <v>348</v>
      </c>
      <c r="BV18" s="50" t="s">
        <v>288</v>
      </c>
      <c r="BW18" s="50" t="s">
        <v>350</v>
      </c>
      <c r="BX18" s="50" t="s">
        <v>387</v>
      </c>
      <c r="BY18" s="50" t="s">
        <v>288</v>
      </c>
      <c r="BZ18" s="50" t="s">
        <v>287</v>
      </c>
      <c r="CA18" s="50"/>
      <c r="CB18" s="50" t="s">
        <v>287</v>
      </c>
      <c r="CC18" s="50" t="s">
        <v>287</v>
      </c>
      <c r="CD18" s="50" t="s">
        <v>287</v>
      </c>
      <c r="CE18" s="50"/>
      <c r="CF18" s="50" t="s">
        <v>287</v>
      </c>
      <c r="CG18" s="50" t="s">
        <v>287</v>
      </c>
      <c r="CH18" s="50" t="s">
        <v>486</v>
      </c>
      <c r="CI18" s="50" t="s">
        <v>287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</row>
    <row r="19" spans="1:97" ht="36.75" customHeight="1" thickBot="1">
      <c r="A19" s="49">
        <v>46083.428194444445</v>
      </c>
      <c r="B19" s="50" t="s">
        <v>40</v>
      </c>
      <c r="C19" s="50" t="s">
        <v>45</v>
      </c>
      <c r="D19" s="50" t="s">
        <v>369</v>
      </c>
      <c r="E19" s="50" t="s">
        <v>61</v>
      </c>
      <c r="F19" s="50" t="s">
        <v>286</v>
      </c>
      <c r="G19" s="50" t="s">
        <v>73</v>
      </c>
      <c r="H19" s="50" t="s">
        <v>313</v>
      </c>
      <c r="I19" s="50" t="s">
        <v>81</v>
      </c>
      <c r="J19" s="50" t="s">
        <v>286</v>
      </c>
      <c r="K19" s="50" t="s">
        <v>287</v>
      </c>
      <c r="L19" s="50" t="s">
        <v>336</v>
      </c>
      <c r="M19" s="50" t="s">
        <v>7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5</v>
      </c>
      <c r="AL19" s="111">
        <v>5</v>
      </c>
      <c r="AM19" s="111">
        <v>5</v>
      </c>
      <c r="AN19" s="111">
        <v>5</v>
      </c>
      <c r="AO19" s="111">
        <v>5</v>
      </c>
      <c r="AP19" s="111">
        <v>5</v>
      </c>
      <c r="AQ19" s="111">
        <v>5</v>
      </c>
      <c r="AR19" s="111">
        <v>5</v>
      </c>
      <c r="AS19" s="111">
        <v>5</v>
      </c>
      <c r="AT19" s="111">
        <v>5</v>
      </c>
      <c r="AU19" s="111">
        <v>5</v>
      </c>
      <c r="AV19" s="50" t="s">
        <v>199</v>
      </c>
      <c r="AW19" s="50" t="s">
        <v>199</v>
      </c>
      <c r="AX19" s="50" t="s">
        <v>199</v>
      </c>
      <c r="AY19" s="50" t="s">
        <v>200</v>
      </c>
      <c r="AZ19" s="50" t="s">
        <v>200</v>
      </c>
      <c r="BA19" s="50" t="s">
        <v>200</v>
      </c>
      <c r="BB19" s="50" t="s">
        <v>200</v>
      </c>
      <c r="BC19" s="50" t="s">
        <v>200</v>
      </c>
      <c r="BD19" s="50" t="s">
        <v>200</v>
      </c>
      <c r="BE19" s="50" t="s">
        <v>200</v>
      </c>
      <c r="BF19" s="50" t="s">
        <v>200</v>
      </c>
      <c r="BG19" s="50" t="s">
        <v>200</v>
      </c>
      <c r="BH19" s="50" t="s">
        <v>200</v>
      </c>
      <c r="BI19" s="50" t="s">
        <v>200</v>
      </c>
      <c r="BJ19" s="50" t="s">
        <v>200</v>
      </c>
      <c r="BK19" s="50" t="s">
        <v>200</v>
      </c>
      <c r="BL19" s="50" t="s">
        <v>200</v>
      </c>
      <c r="BM19" s="50" t="s">
        <v>436</v>
      </c>
      <c r="BN19" s="50" t="s">
        <v>318</v>
      </c>
      <c r="BO19" s="50" t="s">
        <v>91</v>
      </c>
      <c r="BP19" s="50" t="s">
        <v>286</v>
      </c>
      <c r="BQ19" s="50" t="s">
        <v>287</v>
      </c>
      <c r="BR19" s="50" t="s">
        <v>403</v>
      </c>
      <c r="BS19" s="111">
        <v>4</v>
      </c>
      <c r="BT19" s="50" t="s">
        <v>286</v>
      </c>
      <c r="BU19" s="50" t="s">
        <v>312</v>
      </c>
      <c r="BV19" s="50" t="s">
        <v>288</v>
      </c>
      <c r="BW19" s="50" t="s">
        <v>293</v>
      </c>
      <c r="BX19" s="50" t="s">
        <v>294</v>
      </c>
      <c r="BY19" s="50" t="s">
        <v>288</v>
      </c>
      <c r="BZ19" s="50" t="s">
        <v>287</v>
      </c>
      <c r="CA19" s="50"/>
      <c r="CB19" s="50" t="s">
        <v>287</v>
      </c>
      <c r="CC19" s="50" t="s">
        <v>287</v>
      </c>
      <c r="CD19" s="50" t="s">
        <v>287</v>
      </c>
      <c r="CE19" s="50"/>
      <c r="CF19" s="50" t="s">
        <v>287</v>
      </c>
      <c r="CG19" s="50" t="s">
        <v>287</v>
      </c>
      <c r="CH19" s="50" t="s">
        <v>486</v>
      </c>
      <c r="CI19" s="50" t="s">
        <v>287</v>
      </c>
      <c r="CJ19" s="50"/>
      <c r="CK19" s="50"/>
      <c r="CL19" s="50"/>
      <c r="CM19" s="50"/>
      <c r="CN19" s="50"/>
      <c r="CO19" s="50"/>
      <c r="CP19" s="50"/>
      <c r="CQ19" s="50"/>
      <c r="CR19" s="50"/>
      <c r="CS19" s="50"/>
    </row>
    <row r="20" spans="1:97" ht="36.75" customHeight="1" thickBot="1">
      <c r="A20" s="49">
        <v>46083.429386574076</v>
      </c>
      <c r="B20" s="50" t="s">
        <v>38</v>
      </c>
      <c r="C20" s="50" t="s">
        <v>46</v>
      </c>
      <c r="D20" s="50" t="s">
        <v>369</v>
      </c>
      <c r="E20" s="50" t="s">
        <v>285</v>
      </c>
      <c r="F20" s="50" t="s">
        <v>286</v>
      </c>
      <c r="G20" s="50" t="s">
        <v>74</v>
      </c>
      <c r="H20" s="50" t="s">
        <v>338</v>
      </c>
      <c r="I20" s="50" t="s">
        <v>91</v>
      </c>
      <c r="J20" s="50" t="s">
        <v>376</v>
      </c>
      <c r="K20" s="50" t="s">
        <v>291</v>
      </c>
      <c r="L20" s="50" t="s">
        <v>286</v>
      </c>
      <c r="M20" s="50" t="s">
        <v>370</v>
      </c>
      <c r="N20" s="111">
        <v>5</v>
      </c>
      <c r="O20" s="111">
        <v>5</v>
      </c>
      <c r="P20" s="111">
        <v>5</v>
      </c>
      <c r="Q20" s="111">
        <v>5</v>
      </c>
      <c r="R20" s="111">
        <v>6</v>
      </c>
      <c r="S20" s="111">
        <v>6</v>
      </c>
      <c r="T20" s="111">
        <v>4</v>
      </c>
      <c r="U20" s="111">
        <v>5</v>
      </c>
      <c r="V20" s="111">
        <v>6</v>
      </c>
      <c r="W20" s="111">
        <v>6</v>
      </c>
      <c r="X20" s="111">
        <v>6</v>
      </c>
      <c r="Y20" s="111">
        <v>6</v>
      </c>
      <c r="Z20" s="111">
        <v>6</v>
      </c>
      <c r="AA20" s="111">
        <v>6</v>
      </c>
      <c r="AB20" s="111">
        <v>6</v>
      </c>
      <c r="AC20" s="111">
        <v>5</v>
      </c>
      <c r="AD20" s="111">
        <v>5</v>
      </c>
      <c r="AE20" s="111">
        <v>5</v>
      </c>
      <c r="AF20" s="111">
        <v>5</v>
      </c>
      <c r="AG20" s="111">
        <v>5</v>
      </c>
      <c r="AH20" s="111">
        <v>5</v>
      </c>
      <c r="AI20" s="111">
        <v>5</v>
      </c>
      <c r="AJ20" s="111">
        <v>5</v>
      </c>
      <c r="AK20" s="111">
        <v>3</v>
      </c>
      <c r="AL20" s="111">
        <v>5</v>
      </c>
      <c r="AM20" s="111">
        <v>4</v>
      </c>
      <c r="AN20" s="111">
        <v>5</v>
      </c>
      <c r="AO20" s="111">
        <v>5</v>
      </c>
      <c r="AP20" s="111">
        <v>5</v>
      </c>
      <c r="AQ20" s="111">
        <v>6</v>
      </c>
      <c r="AR20" s="111">
        <v>5</v>
      </c>
      <c r="AS20" s="111">
        <v>5</v>
      </c>
      <c r="AT20" s="111">
        <v>5</v>
      </c>
      <c r="AU20" s="111">
        <v>5</v>
      </c>
      <c r="AV20" s="50" t="s">
        <v>202</v>
      </c>
      <c r="AW20" s="50" t="s">
        <v>202</v>
      </c>
      <c r="AX20" s="50" t="s">
        <v>201</v>
      </c>
      <c r="AY20" s="50" t="s">
        <v>199</v>
      </c>
      <c r="AZ20" s="50" t="s">
        <v>202</v>
      </c>
      <c r="BA20" s="50" t="s">
        <v>199</v>
      </c>
      <c r="BB20" s="50" t="s">
        <v>202</v>
      </c>
      <c r="BC20" s="50" t="s">
        <v>202</v>
      </c>
      <c r="BD20" s="50" t="s">
        <v>202</v>
      </c>
      <c r="BE20" s="50" t="s">
        <v>201</v>
      </c>
      <c r="BF20" s="50" t="s">
        <v>201</v>
      </c>
      <c r="BG20" s="50" t="s">
        <v>202</v>
      </c>
      <c r="BH20" s="50" t="s">
        <v>200</v>
      </c>
      <c r="BI20" s="50" t="s">
        <v>202</v>
      </c>
      <c r="BJ20" s="50" t="s">
        <v>202</v>
      </c>
      <c r="BK20" s="50" t="s">
        <v>202</v>
      </c>
      <c r="BL20" s="50" t="s">
        <v>202</v>
      </c>
      <c r="BM20" s="50" t="s">
        <v>436</v>
      </c>
      <c r="BN20" s="50" t="s">
        <v>492</v>
      </c>
      <c r="BO20" s="50" t="s">
        <v>91</v>
      </c>
      <c r="BP20" s="50" t="s">
        <v>286</v>
      </c>
      <c r="BQ20" s="50" t="s">
        <v>287</v>
      </c>
      <c r="BR20" s="50" t="s">
        <v>452</v>
      </c>
      <c r="BS20" s="111">
        <v>5</v>
      </c>
      <c r="BT20" s="50" t="s">
        <v>286</v>
      </c>
      <c r="BU20" s="50" t="s">
        <v>348</v>
      </c>
      <c r="BV20" s="50" t="s">
        <v>288</v>
      </c>
      <c r="BW20" s="50" t="s">
        <v>350</v>
      </c>
      <c r="BX20" s="50" t="s">
        <v>387</v>
      </c>
      <c r="BY20" s="50" t="s">
        <v>288</v>
      </c>
      <c r="BZ20" s="50" t="s">
        <v>287</v>
      </c>
      <c r="CA20" s="50"/>
      <c r="CB20" s="50" t="s">
        <v>287</v>
      </c>
      <c r="CC20" s="50" t="s">
        <v>287</v>
      </c>
      <c r="CD20" s="50" t="s">
        <v>287</v>
      </c>
      <c r="CE20" s="50"/>
      <c r="CF20" s="50" t="s">
        <v>287</v>
      </c>
      <c r="CG20" s="50" t="s">
        <v>287</v>
      </c>
      <c r="CH20" s="50" t="s">
        <v>486</v>
      </c>
      <c r="CI20" s="50" t="s">
        <v>287</v>
      </c>
      <c r="CJ20" s="50"/>
      <c r="CK20" s="50"/>
      <c r="CL20" s="50"/>
      <c r="CM20" s="50"/>
      <c r="CN20" s="50"/>
      <c r="CO20" s="50"/>
      <c r="CP20" s="50"/>
      <c r="CQ20" s="50"/>
      <c r="CR20" s="50"/>
      <c r="CS20" s="50"/>
    </row>
    <row r="21" spans="1:97" ht="36.75" customHeight="1" thickBot="1">
      <c r="A21" s="49">
        <v>46083.431354166663</v>
      </c>
      <c r="B21" s="50" t="s">
        <v>40</v>
      </c>
      <c r="C21" s="50" t="s">
        <v>45</v>
      </c>
      <c r="D21" s="50" t="s">
        <v>374</v>
      </c>
      <c r="E21" s="50" t="s">
        <v>61</v>
      </c>
      <c r="F21" s="50" t="s">
        <v>286</v>
      </c>
      <c r="G21" s="50" t="s">
        <v>73</v>
      </c>
      <c r="H21" s="50" t="s">
        <v>361</v>
      </c>
      <c r="I21" s="50" t="s">
        <v>81</v>
      </c>
      <c r="J21" s="50" t="s">
        <v>286</v>
      </c>
      <c r="K21" s="50" t="s">
        <v>287</v>
      </c>
      <c r="L21" s="50" t="s">
        <v>336</v>
      </c>
      <c r="M21" s="50" t="s">
        <v>7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5</v>
      </c>
      <c r="AH21" s="111">
        <v>5</v>
      </c>
      <c r="AI21" s="111">
        <v>5</v>
      </c>
      <c r="AJ21" s="111">
        <v>5</v>
      </c>
      <c r="AK21" s="111">
        <v>5</v>
      </c>
      <c r="AL21" s="111">
        <v>5</v>
      </c>
      <c r="AM21" s="111">
        <v>5</v>
      </c>
      <c r="AN21" s="111">
        <v>5</v>
      </c>
      <c r="AO21" s="111">
        <v>5</v>
      </c>
      <c r="AP21" s="111">
        <v>5</v>
      </c>
      <c r="AQ21" s="111">
        <v>5</v>
      </c>
      <c r="AR21" s="111">
        <v>5</v>
      </c>
      <c r="AS21" s="111">
        <v>5</v>
      </c>
      <c r="AT21" s="111">
        <v>5</v>
      </c>
      <c r="AU21" s="111">
        <v>5</v>
      </c>
      <c r="AV21" s="50" t="s">
        <v>199</v>
      </c>
      <c r="AW21" s="50" t="s">
        <v>199</v>
      </c>
      <c r="AX21" s="50" t="s">
        <v>199</v>
      </c>
      <c r="AY21" s="50" t="s">
        <v>200</v>
      </c>
      <c r="AZ21" s="50" t="s">
        <v>200</v>
      </c>
      <c r="BA21" s="50" t="s">
        <v>200</v>
      </c>
      <c r="BB21" s="50" t="s">
        <v>200</v>
      </c>
      <c r="BC21" s="50" t="s">
        <v>200</v>
      </c>
      <c r="BD21" s="50" t="s">
        <v>200</v>
      </c>
      <c r="BE21" s="50" t="s">
        <v>200</v>
      </c>
      <c r="BF21" s="50" t="s">
        <v>200</v>
      </c>
      <c r="BG21" s="50" t="s">
        <v>200</v>
      </c>
      <c r="BH21" s="50" t="s">
        <v>200</v>
      </c>
      <c r="BI21" s="50" t="s">
        <v>200</v>
      </c>
      <c r="BJ21" s="50" t="s">
        <v>200</v>
      </c>
      <c r="BK21" s="50" t="s">
        <v>200</v>
      </c>
      <c r="BL21" s="50" t="s">
        <v>200</v>
      </c>
      <c r="BM21" s="50" t="s">
        <v>436</v>
      </c>
      <c r="BN21" s="50" t="s">
        <v>318</v>
      </c>
      <c r="BO21" s="50" t="s">
        <v>91</v>
      </c>
      <c r="BP21" s="50" t="s">
        <v>286</v>
      </c>
      <c r="BQ21" s="50" t="s">
        <v>287</v>
      </c>
      <c r="BR21" s="50" t="s">
        <v>410</v>
      </c>
      <c r="BS21" s="111">
        <v>4</v>
      </c>
      <c r="BT21" s="50" t="s">
        <v>286</v>
      </c>
      <c r="BU21" s="50" t="s">
        <v>312</v>
      </c>
      <c r="BV21" s="50" t="s">
        <v>288</v>
      </c>
      <c r="BW21" s="50" t="s">
        <v>304</v>
      </c>
      <c r="BX21" s="50" t="s">
        <v>290</v>
      </c>
      <c r="BY21" s="50" t="s">
        <v>288</v>
      </c>
      <c r="BZ21" s="50" t="s">
        <v>287</v>
      </c>
      <c r="CA21" s="50"/>
      <c r="CB21" s="50" t="s">
        <v>287</v>
      </c>
      <c r="CC21" s="50" t="s">
        <v>287</v>
      </c>
      <c r="CD21" s="50" t="s">
        <v>287</v>
      </c>
      <c r="CE21" s="50"/>
      <c r="CF21" s="50" t="s">
        <v>287</v>
      </c>
      <c r="CG21" s="50" t="s">
        <v>287</v>
      </c>
      <c r="CH21" s="50" t="s">
        <v>486</v>
      </c>
      <c r="CI21" s="50" t="s">
        <v>287</v>
      </c>
      <c r="CJ21" s="50"/>
      <c r="CK21" s="50"/>
      <c r="CL21" s="50"/>
      <c r="CM21" s="50"/>
      <c r="CN21" s="50"/>
      <c r="CO21" s="50"/>
      <c r="CP21" s="50"/>
      <c r="CQ21" s="50"/>
      <c r="CR21" s="50"/>
      <c r="CS21" s="50"/>
    </row>
    <row r="22" spans="1:97" ht="36.75" customHeight="1" thickBot="1">
      <c r="A22" s="49">
        <v>46083.436064814814</v>
      </c>
      <c r="B22" s="50" t="s">
        <v>36</v>
      </c>
      <c r="C22" s="50" t="s">
        <v>46</v>
      </c>
      <c r="D22" s="50" t="s">
        <v>369</v>
      </c>
      <c r="E22" s="50" t="s">
        <v>285</v>
      </c>
      <c r="F22" s="50" t="s">
        <v>286</v>
      </c>
      <c r="G22" s="50" t="s">
        <v>73</v>
      </c>
      <c r="H22" s="50" t="s">
        <v>430</v>
      </c>
      <c r="I22" s="50" t="s">
        <v>81</v>
      </c>
      <c r="J22" s="50" t="s">
        <v>286</v>
      </c>
      <c r="K22" s="50" t="s">
        <v>287</v>
      </c>
      <c r="L22" s="50" t="s">
        <v>493</v>
      </c>
      <c r="M22" s="50" t="s">
        <v>7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5</v>
      </c>
      <c r="AH22" s="111">
        <v>5</v>
      </c>
      <c r="AI22" s="111">
        <v>5</v>
      </c>
      <c r="AJ22" s="111">
        <v>5</v>
      </c>
      <c r="AK22" s="111">
        <v>5</v>
      </c>
      <c r="AL22" s="111">
        <v>5</v>
      </c>
      <c r="AM22" s="111">
        <v>5</v>
      </c>
      <c r="AN22" s="111">
        <v>5</v>
      </c>
      <c r="AO22" s="111">
        <v>5</v>
      </c>
      <c r="AP22" s="111">
        <v>5</v>
      </c>
      <c r="AQ22" s="111">
        <v>5</v>
      </c>
      <c r="AR22" s="111">
        <v>5</v>
      </c>
      <c r="AS22" s="111">
        <v>5</v>
      </c>
      <c r="AT22" s="111">
        <v>5</v>
      </c>
      <c r="AU22" s="111">
        <v>5</v>
      </c>
      <c r="AV22" s="50" t="s">
        <v>199</v>
      </c>
      <c r="AW22" s="50" t="s">
        <v>199</v>
      </c>
      <c r="AX22" s="50" t="s">
        <v>199</v>
      </c>
      <c r="AY22" s="50" t="s">
        <v>200</v>
      </c>
      <c r="AZ22" s="50" t="s">
        <v>200</v>
      </c>
      <c r="BA22" s="50" t="s">
        <v>200</v>
      </c>
      <c r="BB22" s="50" t="s">
        <v>200</v>
      </c>
      <c r="BC22" s="50" t="s">
        <v>200</v>
      </c>
      <c r="BD22" s="50" t="s">
        <v>200</v>
      </c>
      <c r="BE22" s="50" t="s">
        <v>200</v>
      </c>
      <c r="BF22" s="50" t="s">
        <v>200</v>
      </c>
      <c r="BG22" s="50" t="s">
        <v>200</v>
      </c>
      <c r="BH22" s="50" t="s">
        <v>200</v>
      </c>
      <c r="BI22" s="50" t="s">
        <v>200</v>
      </c>
      <c r="BJ22" s="50" t="s">
        <v>200</v>
      </c>
      <c r="BK22" s="50" t="s">
        <v>200</v>
      </c>
      <c r="BL22" s="50" t="s">
        <v>200</v>
      </c>
      <c r="BM22" s="50" t="s">
        <v>436</v>
      </c>
      <c r="BN22" s="50" t="s">
        <v>318</v>
      </c>
      <c r="BO22" s="50" t="s">
        <v>91</v>
      </c>
      <c r="BP22" s="50" t="s">
        <v>286</v>
      </c>
      <c r="BQ22" s="50" t="s">
        <v>287</v>
      </c>
      <c r="BR22" s="50" t="s">
        <v>407</v>
      </c>
      <c r="BS22" s="111">
        <v>4</v>
      </c>
      <c r="BT22" s="50" t="s">
        <v>286</v>
      </c>
      <c r="BU22" s="50" t="s">
        <v>312</v>
      </c>
      <c r="BV22" s="50" t="s">
        <v>288</v>
      </c>
      <c r="BW22" s="50" t="s">
        <v>289</v>
      </c>
      <c r="BX22" s="50" t="s">
        <v>290</v>
      </c>
      <c r="BY22" s="50" t="s">
        <v>288</v>
      </c>
      <c r="BZ22" s="50" t="s">
        <v>287</v>
      </c>
      <c r="CA22" s="50"/>
      <c r="CB22" s="50" t="s">
        <v>287</v>
      </c>
      <c r="CC22" s="50" t="s">
        <v>287</v>
      </c>
      <c r="CD22" s="50" t="s">
        <v>287</v>
      </c>
      <c r="CE22" s="50"/>
      <c r="CF22" s="50" t="s">
        <v>287</v>
      </c>
      <c r="CG22" s="50" t="s">
        <v>287</v>
      </c>
      <c r="CH22" s="50" t="s">
        <v>486</v>
      </c>
      <c r="CI22" s="50" t="s">
        <v>287</v>
      </c>
      <c r="CJ22" s="50"/>
      <c r="CK22" s="50"/>
      <c r="CL22" s="50"/>
      <c r="CM22" s="50"/>
      <c r="CN22" s="50"/>
      <c r="CO22" s="50"/>
      <c r="CP22" s="50"/>
      <c r="CQ22" s="50"/>
      <c r="CR22" s="50"/>
      <c r="CS22" s="50"/>
    </row>
    <row r="23" spans="1:97" ht="36.75" customHeight="1" thickBot="1">
      <c r="A23" s="49">
        <v>46083.438263888886</v>
      </c>
      <c r="B23" s="50" t="s">
        <v>40</v>
      </c>
      <c r="C23" s="50" t="s">
        <v>45</v>
      </c>
      <c r="D23" s="50" t="s">
        <v>374</v>
      </c>
      <c r="E23" s="50" t="s">
        <v>61</v>
      </c>
      <c r="F23" s="50" t="s">
        <v>286</v>
      </c>
      <c r="G23" s="50" t="s">
        <v>73</v>
      </c>
      <c r="H23" s="50" t="s">
        <v>326</v>
      </c>
      <c r="I23" s="50" t="s">
        <v>81</v>
      </c>
      <c r="J23" s="50" t="s">
        <v>286</v>
      </c>
      <c r="K23" s="50" t="s">
        <v>287</v>
      </c>
      <c r="L23" s="50" t="s">
        <v>336</v>
      </c>
      <c r="M23" s="50" t="s">
        <v>7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5</v>
      </c>
      <c r="AH23" s="111">
        <v>5</v>
      </c>
      <c r="AI23" s="111">
        <v>5</v>
      </c>
      <c r="AJ23" s="111">
        <v>5</v>
      </c>
      <c r="AK23" s="111">
        <v>5</v>
      </c>
      <c r="AL23" s="111">
        <v>5</v>
      </c>
      <c r="AM23" s="111">
        <v>5</v>
      </c>
      <c r="AN23" s="111">
        <v>5</v>
      </c>
      <c r="AO23" s="111">
        <v>5</v>
      </c>
      <c r="AP23" s="111">
        <v>5</v>
      </c>
      <c r="AQ23" s="111">
        <v>5</v>
      </c>
      <c r="AR23" s="111">
        <v>5</v>
      </c>
      <c r="AS23" s="111">
        <v>5</v>
      </c>
      <c r="AT23" s="111">
        <v>5</v>
      </c>
      <c r="AU23" s="111">
        <v>5</v>
      </c>
      <c r="AV23" s="50" t="s">
        <v>199</v>
      </c>
      <c r="AW23" s="50" t="s">
        <v>199</v>
      </c>
      <c r="AX23" s="50" t="s">
        <v>199</v>
      </c>
      <c r="AY23" s="50" t="s">
        <v>200</v>
      </c>
      <c r="AZ23" s="50" t="s">
        <v>200</v>
      </c>
      <c r="BA23" s="50" t="s">
        <v>200</v>
      </c>
      <c r="BB23" s="50" t="s">
        <v>200</v>
      </c>
      <c r="BC23" s="50" t="s">
        <v>200</v>
      </c>
      <c r="BD23" s="50" t="s">
        <v>200</v>
      </c>
      <c r="BE23" s="50" t="s">
        <v>200</v>
      </c>
      <c r="BF23" s="50" t="s">
        <v>200</v>
      </c>
      <c r="BG23" s="50" t="s">
        <v>200</v>
      </c>
      <c r="BH23" s="50" t="s">
        <v>200</v>
      </c>
      <c r="BI23" s="50" t="s">
        <v>200</v>
      </c>
      <c r="BJ23" s="50" t="s">
        <v>200</v>
      </c>
      <c r="BK23" s="50" t="s">
        <v>200</v>
      </c>
      <c r="BL23" s="50" t="s">
        <v>200</v>
      </c>
      <c r="BM23" s="50" t="s">
        <v>436</v>
      </c>
      <c r="BN23" s="50" t="s">
        <v>318</v>
      </c>
      <c r="BO23" s="50" t="s">
        <v>91</v>
      </c>
      <c r="BP23" s="50" t="s">
        <v>286</v>
      </c>
      <c r="BQ23" s="50" t="s">
        <v>287</v>
      </c>
      <c r="BR23" s="50" t="s">
        <v>412</v>
      </c>
      <c r="BS23" s="111">
        <v>4</v>
      </c>
      <c r="BT23" s="50" t="s">
        <v>286</v>
      </c>
      <c r="BU23" s="50" t="s">
        <v>312</v>
      </c>
      <c r="BV23" s="50" t="s">
        <v>288</v>
      </c>
      <c r="BW23" s="50" t="s">
        <v>293</v>
      </c>
      <c r="BX23" s="50" t="s">
        <v>296</v>
      </c>
      <c r="BY23" s="50" t="s">
        <v>288</v>
      </c>
      <c r="BZ23" s="50" t="s">
        <v>287</v>
      </c>
      <c r="CA23" s="50"/>
      <c r="CB23" s="50" t="s">
        <v>287</v>
      </c>
      <c r="CC23" s="50" t="s">
        <v>287</v>
      </c>
      <c r="CD23" s="50" t="s">
        <v>287</v>
      </c>
      <c r="CE23" s="50"/>
      <c r="CF23" s="50" t="s">
        <v>287</v>
      </c>
      <c r="CG23" s="50" t="s">
        <v>287</v>
      </c>
      <c r="CH23" s="50" t="s">
        <v>486</v>
      </c>
      <c r="CI23" s="50" t="s">
        <v>287</v>
      </c>
      <c r="CJ23" s="50"/>
      <c r="CK23" s="50"/>
      <c r="CL23" s="50"/>
      <c r="CM23" s="50"/>
      <c r="CN23" s="50"/>
      <c r="CO23" s="50"/>
      <c r="CP23" s="50"/>
      <c r="CQ23" s="50"/>
      <c r="CR23" s="50"/>
      <c r="CS23" s="50"/>
    </row>
    <row r="24" spans="1:97" ht="36.75" customHeight="1" thickBot="1">
      <c r="A24" s="49">
        <v>46083.445856481485</v>
      </c>
      <c r="B24" s="50" t="s">
        <v>40</v>
      </c>
      <c r="C24" s="50" t="s">
        <v>45</v>
      </c>
      <c r="D24" s="50" t="s">
        <v>374</v>
      </c>
      <c r="E24" s="50" t="s">
        <v>61</v>
      </c>
      <c r="F24" s="50" t="s">
        <v>286</v>
      </c>
      <c r="G24" s="50" t="s">
        <v>73</v>
      </c>
      <c r="H24" s="50" t="s">
        <v>361</v>
      </c>
      <c r="I24" s="50" t="s">
        <v>81</v>
      </c>
      <c r="J24" s="50" t="s">
        <v>286</v>
      </c>
      <c r="K24" s="50" t="s">
        <v>287</v>
      </c>
      <c r="L24" s="50" t="s">
        <v>336</v>
      </c>
      <c r="M24" s="50" t="s">
        <v>7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5</v>
      </c>
      <c r="AL24" s="111">
        <v>5</v>
      </c>
      <c r="AM24" s="111">
        <v>5</v>
      </c>
      <c r="AN24" s="111">
        <v>5</v>
      </c>
      <c r="AO24" s="111">
        <v>5</v>
      </c>
      <c r="AP24" s="111">
        <v>5</v>
      </c>
      <c r="AQ24" s="111">
        <v>5</v>
      </c>
      <c r="AR24" s="111">
        <v>5</v>
      </c>
      <c r="AS24" s="111">
        <v>5</v>
      </c>
      <c r="AT24" s="111">
        <v>5</v>
      </c>
      <c r="AU24" s="111">
        <v>5</v>
      </c>
      <c r="AV24" s="50" t="s">
        <v>199</v>
      </c>
      <c r="AW24" s="50" t="s">
        <v>199</v>
      </c>
      <c r="AX24" s="50" t="s">
        <v>199</v>
      </c>
      <c r="AY24" s="50" t="s">
        <v>200</v>
      </c>
      <c r="AZ24" s="50" t="s">
        <v>200</v>
      </c>
      <c r="BA24" s="50" t="s">
        <v>200</v>
      </c>
      <c r="BB24" s="50" t="s">
        <v>200</v>
      </c>
      <c r="BC24" s="50" t="s">
        <v>200</v>
      </c>
      <c r="BD24" s="50" t="s">
        <v>200</v>
      </c>
      <c r="BE24" s="50" t="s">
        <v>200</v>
      </c>
      <c r="BF24" s="50" t="s">
        <v>200</v>
      </c>
      <c r="BG24" s="50" t="s">
        <v>200</v>
      </c>
      <c r="BH24" s="50" t="s">
        <v>200</v>
      </c>
      <c r="BI24" s="50" t="s">
        <v>200</v>
      </c>
      <c r="BJ24" s="50" t="s">
        <v>200</v>
      </c>
      <c r="BK24" s="50" t="s">
        <v>200</v>
      </c>
      <c r="BL24" s="50" t="s">
        <v>200</v>
      </c>
      <c r="BM24" s="50" t="s">
        <v>436</v>
      </c>
      <c r="BN24" s="50" t="s">
        <v>489</v>
      </c>
      <c r="BO24" s="50" t="s">
        <v>91</v>
      </c>
      <c r="BP24" s="50"/>
      <c r="BQ24" s="50" t="s">
        <v>287</v>
      </c>
      <c r="BR24" s="50" t="s">
        <v>406</v>
      </c>
      <c r="BS24" s="111">
        <v>4</v>
      </c>
      <c r="BT24" s="50" t="s">
        <v>286</v>
      </c>
      <c r="BU24" s="50" t="s">
        <v>312</v>
      </c>
      <c r="BV24" s="50" t="s">
        <v>288</v>
      </c>
      <c r="BW24" s="50" t="s">
        <v>293</v>
      </c>
      <c r="BX24" s="50" t="s">
        <v>294</v>
      </c>
      <c r="BY24" s="50" t="s">
        <v>288</v>
      </c>
      <c r="BZ24" s="50" t="s">
        <v>287</v>
      </c>
      <c r="CA24" s="50"/>
      <c r="CB24" s="50" t="s">
        <v>287</v>
      </c>
      <c r="CC24" s="50" t="s">
        <v>287</v>
      </c>
      <c r="CD24" s="50" t="s">
        <v>287</v>
      </c>
      <c r="CE24" s="50"/>
      <c r="CF24" s="50" t="s">
        <v>287</v>
      </c>
      <c r="CG24" s="50" t="s">
        <v>287</v>
      </c>
      <c r="CH24" s="50" t="s">
        <v>486</v>
      </c>
      <c r="CI24" s="50" t="s">
        <v>287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</row>
    <row r="25" spans="1:97" ht="36.75" customHeight="1" thickBot="1">
      <c r="A25" s="49">
        <v>46083.448182870372</v>
      </c>
      <c r="B25" s="50" t="s">
        <v>40</v>
      </c>
      <c r="C25" s="50" t="s">
        <v>45</v>
      </c>
      <c r="D25" s="50" t="s">
        <v>374</v>
      </c>
      <c r="E25" s="50" t="s">
        <v>61</v>
      </c>
      <c r="F25" s="50"/>
      <c r="G25" s="50" t="s">
        <v>73</v>
      </c>
      <c r="H25" s="50" t="s">
        <v>494</v>
      </c>
      <c r="I25" s="50" t="s">
        <v>81</v>
      </c>
      <c r="J25" s="50" t="s">
        <v>286</v>
      </c>
      <c r="K25" s="50" t="s">
        <v>287</v>
      </c>
      <c r="L25" s="50" t="s">
        <v>336</v>
      </c>
      <c r="M25" s="50" t="s">
        <v>7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5</v>
      </c>
      <c r="AH25" s="111">
        <v>5</v>
      </c>
      <c r="AI25" s="111">
        <v>5</v>
      </c>
      <c r="AJ25" s="111">
        <v>5</v>
      </c>
      <c r="AK25" s="111">
        <v>5</v>
      </c>
      <c r="AL25" s="111">
        <v>5</v>
      </c>
      <c r="AM25" s="111">
        <v>5</v>
      </c>
      <c r="AN25" s="111">
        <v>5</v>
      </c>
      <c r="AO25" s="111">
        <v>5</v>
      </c>
      <c r="AP25" s="111">
        <v>5</v>
      </c>
      <c r="AQ25" s="111">
        <v>5</v>
      </c>
      <c r="AR25" s="111">
        <v>5</v>
      </c>
      <c r="AS25" s="111">
        <v>5</v>
      </c>
      <c r="AT25" s="111">
        <v>5</v>
      </c>
      <c r="AU25" s="111">
        <v>5</v>
      </c>
      <c r="AV25" s="50" t="s">
        <v>199</v>
      </c>
      <c r="AW25" s="50" t="s">
        <v>199</v>
      </c>
      <c r="AX25" s="50" t="s">
        <v>199</v>
      </c>
      <c r="AY25" s="50" t="s">
        <v>200</v>
      </c>
      <c r="AZ25" s="50" t="s">
        <v>200</v>
      </c>
      <c r="BA25" s="50" t="s">
        <v>200</v>
      </c>
      <c r="BB25" s="50" t="s">
        <v>200</v>
      </c>
      <c r="BC25" s="50" t="s">
        <v>200</v>
      </c>
      <c r="BD25" s="50" t="s">
        <v>200</v>
      </c>
      <c r="BE25" s="50" t="s">
        <v>200</v>
      </c>
      <c r="BF25" s="50" t="s">
        <v>200</v>
      </c>
      <c r="BG25" s="50" t="s">
        <v>200</v>
      </c>
      <c r="BH25" s="50" t="s">
        <v>200</v>
      </c>
      <c r="BI25" s="50" t="s">
        <v>200</v>
      </c>
      <c r="BJ25" s="50" t="s">
        <v>200</v>
      </c>
      <c r="BK25" s="50" t="s">
        <v>200</v>
      </c>
      <c r="BL25" s="50" t="s">
        <v>200</v>
      </c>
      <c r="BM25" s="50" t="s">
        <v>436</v>
      </c>
      <c r="BN25" s="50" t="s">
        <v>318</v>
      </c>
      <c r="BO25" s="50" t="s">
        <v>91</v>
      </c>
      <c r="BP25" s="50" t="s">
        <v>286</v>
      </c>
      <c r="BQ25" s="50" t="s">
        <v>287</v>
      </c>
      <c r="BR25" s="50" t="s">
        <v>416</v>
      </c>
      <c r="BS25" s="111">
        <v>4</v>
      </c>
      <c r="BT25" s="50" t="s">
        <v>286</v>
      </c>
      <c r="BU25" s="50" t="s">
        <v>312</v>
      </c>
      <c r="BV25" s="50" t="s">
        <v>288</v>
      </c>
      <c r="BW25" s="50" t="s">
        <v>303</v>
      </c>
      <c r="BX25" s="50" t="s">
        <v>290</v>
      </c>
      <c r="BY25" s="50" t="s">
        <v>288</v>
      </c>
      <c r="BZ25" s="50" t="s">
        <v>287</v>
      </c>
      <c r="CA25" s="50"/>
      <c r="CB25" s="50" t="s">
        <v>287</v>
      </c>
      <c r="CC25" s="50" t="s">
        <v>287</v>
      </c>
      <c r="CD25" s="50" t="s">
        <v>287</v>
      </c>
      <c r="CE25" s="50"/>
      <c r="CF25" s="50" t="s">
        <v>287</v>
      </c>
      <c r="CG25" s="50" t="s">
        <v>287</v>
      </c>
      <c r="CH25" s="50" t="s">
        <v>486</v>
      </c>
      <c r="CI25" s="50" t="s">
        <v>287</v>
      </c>
      <c r="CJ25" s="50"/>
      <c r="CK25" s="50"/>
      <c r="CL25" s="50"/>
      <c r="CM25" s="50"/>
      <c r="CN25" s="50"/>
      <c r="CO25" s="50"/>
      <c r="CP25" s="50"/>
      <c r="CQ25" s="50"/>
      <c r="CR25" s="50"/>
      <c r="CS25" s="50"/>
    </row>
    <row r="26" spans="1:97" ht="36.75" customHeight="1" thickBot="1">
      <c r="A26" s="49">
        <v>46083.452048611114</v>
      </c>
      <c r="B26" s="50" t="s">
        <v>40</v>
      </c>
      <c r="C26" s="50" t="s">
        <v>46</v>
      </c>
      <c r="D26" s="50" t="s">
        <v>374</v>
      </c>
      <c r="E26" s="50" t="s">
        <v>61</v>
      </c>
      <c r="F26" s="50" t="s">
        <v>286</v>
      </c>
      <c r="G26" s="50" t="s">
        <v>73</v>
      </c>
      <c r="H26" s="50" t="s">
        <v>467</v>
      </c>
      <c r="I26" s="50" t="s">
        <v>81</v>
      </c>
      <c r="J26" s="50" t="s">
        <v>286</v>
      </c>
      <c r="K26" s="50" t="s">
        <v>287</v>
      </c>
      <c r="L26" s="50" t="s">
        <v>336</v>
      </c>
      <c r="M26" s="50" t="s">
        <v>7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5</v>
      </c>
      <c r="AH26" s="111">
        <v>5</v>
      </c>
      <c r="AI26" s="111">
        <v>5</v>
      </c>
      <c r="AJ26" s="111">
        <v>5</v>
      </c>
      <c r="AK26" s="111">
        <v>5</v>
      </c>
      <c r="AL26" s="111">
        <v>5</v>
      </c>
      <c r="AM26" s="111">
        <v>5</v>
      </c>
      <c r="AN26" s="111">
        <v>5</v>
      </c>
      <c r="AO26" s="111">
        <v>5</v>
      </c>
      <c r="AP26" s="111">
        <v>5</v>
      </c>
      <c r="AQ26" s="111">
        <v>5</v>
      </c>
      <c r="AR26" s="111">
        <v>5</v>
      </c>
      <c r="AS26" s="111">
        <v>5</v>
      </c>
      <c r="AT26" s="111">
        <v>5</v>
      </c>
      <c r="AU26" s="111">
        <v>5</v>
      </c>
      <c r="AV26" s="50" t="s">
        <v>199</v>
      </c>
      <c r="AW26" s="50" t="s">
        <v>199</v>
      </c>
      <c r="AX26" s="50" t="s">
        <v>199</v>
      </c>
      <c r="AY26" s="50" t="s">
        <v>200</v>
      </c>
      <c r="AZ26" s="50" t="s">
        <v>200</v>
      </c>
      <c r="BA26" s="50" t="s">
        <v>200</v>
      </c>
      <c r="BB26" s="50" t="s">
        <v>200</v>
      </c>
      <c r="BC26" s="50" t="s">
        <v>200</v>
      </c>
      <c r="BD26" s="50" t="s">
        <v>200</v>
      </c>
      <c r="BE26" s="50" t="s">
        <v>200</v>
      </c>
      <c r="BF26" s="50" t="s">
        <v>200</v>
      </c>
      <c r="BG26" s="50" t="s">
        <v>200</v>
      </c>
      <c r="BH26" s="50" t="s">
        <v>200</v>
      </c>
      <c r="BI26" s="50" t="s">
        <v>200</v>
      </c>
      <c r="BJ26" s="50" t="s">
        <v>200</v>
      </c>
      <c r="BK26" s="50" t="s">
        <v>200</v>
      </c>
      <c r="BL26" s="50" t="s">
        <v>200</v>
      </c>
      <c r="BM26" s="50" t="s">
        <v>436</v>
      </c>
      <c r="BN26" s="50" t="s">
        <v>318</v>
      </c>
      <c r="BO26" s="50" t="s">
        <v>91</v>
      </c>
      <c r="BP26" s="50" t="s">
        <v>286</v>
      </c>
      <c r="BQ26" s="50" t="s">
        <v>287</v>
      </c>
      <c r="BR26" s="50" t="s">
        <v>406</v>
      </c>
      <c r="BS26" s="111">
        <v>4</v>
      </c>
      <c r="BT26" s="50" t="s">
        <v>286</v>
      </c>
      <c r="BU26" s="50" t="s">
        <v>312</v>
      </c>
      <c r="BV26" s="50" t="s">
        <v>288</v>
      </c>
      <c r="BW26" s="50" t="s">
        <v>289</v>
      </c>
      <c r="BX26" s="50" t="s">
        <v>290</v>
      </c>
      <c r="BY26" s="50" t="s">
        <v>288</v>
      </c>
      <c r="BZ26" s="50" t="s">
        <v>287</v>
      </c>
      <c r="CA26" s="50"/>
      <c r="CB26" s="50" t="s">
        <v>287</v>
      </c>
      <c r="CC26" s="50" t="s">
        <v>287</v>
      </c>
      <c r="CD26" s="50" t="s">
        <v>287</v>
      </c>
      <c r="CE26" s="50"/>
      <c r="CF26" s="50" t="s">
        <v>287</v>
      </c>
      <c r="CG26" s="50" t="s">
        <v>287</v>
      </c>
      <c r="CH26" s="50" t="s">
        <v>486</v>
      </c>
      <c r="CI26" s="50" t="s">
        <v>287</v>
      </c>
      <c r="CJ26" s="50"/>
      <c r="CK26" s="50"/>
      <c r="CL26" s="50"/>
      <c r="CM26" s="50"/>
      <c r="CN26" s="50"/>
      <c r="CO26" s="50"/>
      <c r="CP26" s="50"/>
      <c r="CQ26" s="50"/>
      <c r="CR26" s="50"/>
      <c r="CS26" s="50"/>
    </row>
    <row r="27" spans="1:97" ht="36.75" customHeight="1" thickBot="1">
      <c r="A27" s="49">
        <v>46083.467777777776</v>
      </c>
      <c r="B27" s="50" t="s">
        <v>40</v>
      </c>
      <c r="C27" s="50" t="s">
        <v>46</v>
      </c>
      <c r="D27" s="50" t="s">
        <v>369</v>
      </c>
      <c r="E27" s="50" t="s">
        <v>61</v>
      </c>
      <c r="F27" s="50" t="s">
        <v>286</v>
      </c>
      <c r="G27" s="50" t="s">
        <v>74</v>
      </c>
      <c r="H27" s="50" t="s">
        <v>365</v>
      </c>
      <c r="I27" s="50" t="s">
        <v>91</v>
      </c>
      <c r="J27" s="50" t="s">
        <v>286</v>
      </c>
      <c r="K27" s="50" t="s">
        <v>291</v>
      </c>
      <c r="L27" s="50" t="s">
        <v>286</v>
      </c>
      <c r="M27" s="50" t="s">
        <v>370</v>
      </c>
      <c r="N27" s="111">
        <v>5</v>
      </c>
      <c r="O27" s="111">
        <v>5</v>
      </c>
      <c r="P27" s="111">
        <v>5</v>
      </c>
      <c r="Q27" s="111">
        <v>5</v>
      </c>
      <c r="R27" s="111">
        <v>6</v>
      </c>
      <c r="S27" s="111">
        <v>6</v>
      </c>
      <c r="T27" s="111">
        <v>4</v>
      </c>
      <c r="U27" s="111">
        <v>5</v>
      </c>
      <c r="V27" s="111">
        <v>6</v>
      </c>
      <c r="W27" s="111">
        <v>6</v>
      </c>
      <c r="X27" s="111">
        <v>6</v>
      </c>
      <c r="Y27" s="111">
        <v>6</v>
      </c>
      <c r="Z27" s="111">
        <v>5</v>
      </c>
      <c r="AA27" s="111">
        <v>6</v>
      </c>
      <c r="AB27" s="111">
        <v>6</v>
      </c>
      <c r="AC27" s="111">
        <v>5</v>
      </c>
      <c r="AD27" s="111">
        <v>5</v>
      </c>
      <c r="AE27" s="111">
        <v>5</v>
      </c>
      <c r="AF27" s="111">
        <v>5</v>
      </c>
      <c r="AG27" s="111">
        <v>5</v>
      </c>
      <c r="AH27" s="111">
        <v>5</v>
      </c>
      <c r="AI27" s="111">
        <v>5</v>
      </c>
      <c r="AJ27" s="111">
        <v>5</v>
      </c>
      <c r="AK27" s="111">
        <v>5</v>
      </c>
      <c r="AL27" s="111">
        <v>5</v>
      </c>
      <c r="AM27" s="111">
        <v>4</v>
      </c>
      <c r="AN27" s="111">
        <v>5</v>
      </c>
      <c r="AO27" s="111">
        <v>5</v>
      </c>
      <c r="AP27" s="111">
        <v>5</v>
      </c>
      <c r="AQ27" s="111">
        <v>6</v>
      </c>
      <c r="AR27" s="111">
        <v>6</v>
      </c>
      <c r="AS27" s="111">
        <v>6</v>
      </c>
      <c r="AT27" s="111">
        <v>6</v>
      </c>
      <c r="AU27" s="111">
        <v>6</v>
      </c>
      <c r="AV27" s="50" t="s">
        <v>202</v>
      </c>
      <c r="AW27" s="50" t="s">
        <v>202</v>
      </c>
      <c r="AX27" s="50" t="s">
        <v>201</v>
      </c>
      <c r="AY27" s="50" t="s">
        <v>199</v>
      </c>
      <c r="AZ27" s="50" t="s">
        <v>202</v>
      </c>
      <c r="BA27" s="50" t="s">
        <v>202</v>
      </c>
      <c r="BB27" s="50" t="s">
        <v>202</v>
      </c>
      <c r="BC27" s="50" t="s">
        <v>202</v>
      </c>
      <c r="BD27" s="50" t="s">
        <v>202</v>
      </c>
      <c r="BE27" s="50" t="s">
        <v>202</v>
      </c>
      <c r="BF27" s="50" t="s">
        <v>201</v>
      </c>
      <c r="BG27" s="50" t="s">
        <v>202</v>
      </c>
      <c r="BH27" s="50" t="s">
        <v>201</v>
      </c>
      <c r="BI27" s="50" t="s">
        <v>202</v>
      </c>
      <c r="BJ27" s="50" t="s">
        <v>202</v>
      </c>
      <c r="BK27" s="50" t="s">
        <v>202</v>
      </c>
      <c r="BL27" s="50" t="s">
        <v>202</v>
      </c>
      <c r="BM27" s="50" t="s">
        <v>436</v>
      </c>
      <c r="BN27" s="50" t="s">
        <v>318</v>
      </c>
      <c r="BO27" s="50" t="s">
        <v>91</v>
      </c>
      <c r="BP27" s="50" t="s">
        <v>286</v>
      </c>
      <c r="BQ27" s="50" t="s">
        <v>287</v>
      </c>
      <c r="BR27" s="50" t="s">
        <v>448</v>
      </c>
      <c r="BS27" s="111">
        <v>5</v>
      </c>
      <c r="BT27" s="50" t="s">
        <v>286</v>
      </c>
      <c r="BU27" s="50" t="s">
        <v>348</v>
      </c>
      <c r="BV27" s="50" t="s">
        <v>288</v>
      </c>
      <c r="BW27" s="50" t="s">
        <v>350</v>
      </c>
      <c r="BX27" s="50" t="s">
        <v>294</v>
      </c>
      <c r="BY27" s="50" t="s">
        <v>288</v>
      </c>
      <c r="BZ27" s="50" t="s">
        <v>287</v>
      </c>
      <c r="CA27" s="50"/>
      <c r="CB27" s="50" t="s">
        <v>287</v>
      </c>
      <c r="CC27" s="50" t="s">
        <v>287</v>
      </c>
      <c r="CD27" s="50" t="s">
        <v>287</v>
      </c>
      <c r="CE27" s="50"/>
      <c r="CF27" s="50" t="s">
        <v>287</v>
      </c>
      <c r="CG27" s="50" t="s">
        <v>287</v>
      </c>
      <c r="CH27" s="50" t="s">
        <v>486</v>
      </c>
      <c r="CI27" s="50" t="s">
        <v>287</v>
      </c>
      <c r="CJ27" s="50"/>
      <c r="CK27" s="50"/>
      <c r="CL27" s="50"/>
      <c r="CM27" s="50"/>
      <c r="CN27" s="50"/>
      <c r="CO27" s="50"/>
      <c r="CP27" s="50"/>
      <c r="CQ27" s="50"/>
      <c r="CR27" s="50"/>
      <c r="CS27" s="50"/>
    </row>
    <row r="28" spans="1:97" ht="36.75" customHeight="1" thickBot="1">
      <c r="A28" s="49">
        <v>46083.566701388889</v>
      </c>
      <c r="B28" s="50" t="s">
        <v>40</v>
      </c>
      <c r="C28" s="50" t="s">
        <v>45</v>
      </c>
      <c r="D28" s="50" t="s">
        <v>374</v>
      </c>
      <c r="E28" s="50" t="s">
        <v>61</v>
      </c>
      <c r="F28" s="50" t="s">
        <v>286</v>
      </c>
      <c r="G28" s="50" t="s">
        <v>73</v>
      </c>
      <c r="H28" s="50" t="s">
        <v>495</v>
      </c>
      <c r="I28" s="50" t="s">
        <v>81</v>
      </c>
      <c r="J28" s="50" t="s">
        <v>286</v>
      </c>
      <c r="K28" s="50" t="s">
        <v>287</v>
      </c>
      <c r="L28" s="50" t="s">
        <v>336</v>
      </c>
      <c r="M28" s="50" t="s">
        <v>7</v>
      </c>
      <c r="N28" s="111">
        <v>5</v>
      </c>
      <c r="O28" s="111">
        <v>5</v>
      </c>
      <c r="P28" s="111">
        <v>5</v>
      </c>
      <c r="Q28" s="111">
        <v>5</v>
      </c>
      <c r="R28" s="111">
        <v>5</v>
      </c>
      <c r="S28" s="111">
        <v>5</v>
      </c>
      <c r="T28" s="111">
        <v>5</v>
      </c>
      <c r="U28" s="111">
        <v>5</v>
      </c>
      <c r="V28" s="111">
        <v>5</v>
      </c>
      <c r="W28" s="111">
        <v>5</v>
      </c>
      <c r="X28" s="111">
        <v>5</v>
      </c>
      <c r="Y28" s="111">
        <v>5</v>
      </c>
      <c r="Z28" s="111">
        <v>5</v>
      </c>
      <c r="AA28" s="111">
        <v>5</v>
      </c>
      <c r="AB28" s="111">
        <v>5</v>
      </c>
      <c r="AC28" s="111">
        <v>5</v>
      </c>
      <c r="AD28" s="111">
        <v>5</v>
      </c>
      <c r="AE28" s="111">
        <v>5</v>
      </c>
      <c r="AF28" s="111">
        <v>5</v>
      </c>
      <c r="AG28" s="111">
        <v>5</v>
      </c>
      <c r="AH28" s="111">
        <v>5</v>
      </c>
      <c r="AI28" s="111">
        <v>5</v>
      </c>
      <c r="AJ28" s="111">
        <v>5</v>
      </c>
      <c r="AK28" s="111">
        <v>5</v>
      </c>
      <c r="AL28" s="111">
        <v>5</v>
      </c>
      <c r="AM28" s="111">
        <v>5</v>
      </c>
      <c r="AN28" s="111">
        <v>5</v>
      </c>
      <c r="AO28" s="111">
        <v>5</v>
      </c>
      <c r="AP28" s="111">
        <v>5</v>
      </c>
      <c r="AQ28" s="111">
        <v>5</v>
      </c>
      <c r="AR28" s="111">
        <v>5</v>
      </c>
      <c r="AS28" s="111">
        <v>5</v>
      </c>
      <c r="AT28" s="111">
        <v>5</v>
      </c>
      <c r="AU28" s="111">
        <v>5</v>
      </c>
      <c r="AV28" s="50" t="s">
        <v>199</v>
      </c>
      <c r="AW28" s="50" t="s">
        <v>199</v>
      </c>
      <c r="AX28" s="50" t="s">
        <v>199</v>
      </c>
      <c r="AY28" s="50" t="s">
        <v>200</v>
      </c>
      <c r="AZ28" s="50" t="s">
        <v>200</v>
      </c>
      <c r="BA28" s="50" t="s">
        <v>200</v>
      </c>
      <c r="BB28" s="50" t="s">
        <v>200</v>
      </c>
      <c r="BC28" s="50" t="s">
        <v>200</v>
      </c>
      <c r="BD28" s="50" t="s">
        <v>200</v>
      </c>
      <c r="BE28" s="50" t="s">
        <v>200</v>
      </c>
      <c r="BF28" s="50" t="s">
        <v>200</v>
      </c>
      <c r="BG28" s="50" t="s">
        <v>200</v>
      </c>
      <c r="BH28" s="50" t="s">
        <v>200</v>
      </c>
      <c r="BI28" s="50" t="s">
        <v>200</v>
      </c>
      <c r="BJ28" s="50" t="s">
        <v>200</v>
      </c>
      <c r="BK28" s="50" t="s">
        <v>200</v>
      </c>
      <c r="BL28" s="50" t="s">
        <v>200</v>
      </c>
      <c r="BM28" s="50" t="s">
        <v>436</v>
      </c>
      <c r="BN28" s="50" t="s">
        <v>318</v>
      </c>
      <c r="BO28" s="50" t="s">
        <v>91</v>
      </c>
      <c r="BP28" s="50" t="s">
        <v>286</v>
      </c>
      <c r="BQ28" s="50" t="s">
        <v>287</v>
      </c>
      <c r="BR28" s="50" t="s">
        <v>403</v>
      </c>
      <c r="BS28" s="111">
        <v>4</v>
      </c>
      <c r="BT28" s="50" t="s">
        <v>286</v>
      </c>
      <c r="BU28" s="50" t="s">
        <v>312</v>
      </c>
      <c r="BV28" s="50" t="s">
        <v>288</v>
      </c>
      <c r="BW28" s="50" t="s">
        <v>293</v>
      </c>
      <c r="BX28" s="50" t="s">
        <v>290</v>
      </c>
      <c r="BY28" s="50" t="s">
        <v>288</v>
      </c>
      <c r="BZ28" s="50" t="s">
        <v>287</v>
      </c>
      <c r="CA28" s="50"/>
      <c r="CB28" s="50" t="s">
        <v>287</v>
      </c>
      <c r="CC28" s="50" t="s">
        <v>287</v>
      </c>
      <c r="CD28" s="50" t="s">
        <v>287</v>
      </c>
      <c r="CE28" s="50"/>
      <c r="CF28" s="50" t="s">
        <v>287</v>
      </c>
      <c r="CG28" s="50" t="s">
        <v>287</v>
      </c>
      <c r="CH28" s="50" t="s">
        <v>486</v>
      </c>
      <c r="CI28" s="50" t="s">
        <v>287</v>
      </c>
      <c r="CJ28" s="50"/>
      <c r="CK28" s="50"/>
      <c r="CL28" s="50"/>
      <c r="CM28" s="50"/>
      <c r="CN28" s="50"/>
      <c r="CO28" s="50"/>
      <c r="CP28" s="50"/>
      <c r="CQ28" s="50"/>
      <c r="CR28" s="50"/>
      <c r="CS28" s="50"/>
    </row>
    <row r="29" spans="1:97" ht="36.75" customHeight="1" thickBot="1">
      <c r="A29" s="49">
        <v>46083.574861111112</v>
      </c>
      <c r="B29" s="50" t="s">
        <v>40</v>
      </c>
      <c r="C29" s="50" t="s">
        <v>45</v>
      </c>
      <c r="D29" s="50" t="s">
        <v>374</v>
      </c>
      <c r="E29" s="50" t="s">
        <v>61</v>
      </c>
      <c r="F29" s="50" t="s">
        <v>286</v>
      </c>
      <c r="G29" s="50" t="s">
        <v>292</v>
      </c>
      <c r="H29" s="50" t="s">
        <v>338</v>
      </c>
      <c r="I29" s="50" t="s">
        <v>81</v>
      </c>
      <c r="J29" s="50" t="s">
        <v>286</v>
      </c>
      <c r="K29" s="50" t="s">
        <v>287</v>
      </c>
      <c r="L29" s="50" t="s">
        <v>336</v>
      </c>
      <c r="M29" s="50" t="s">
        <v>7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5</v>
      </c>
      <c r="AH29" s="111">
        <v>5</v>
      </c>
      <c r="AI29" s="111">
        <v>5</v>
      </c>
      <c r="AJ29" s="111">
        <v>5</v>
      </c>
      <c r="AK29" s="111">
        <v>5</v>
      </c>
      <c r="AL29" s="111">
        <v>5</v>
      </c>
      <c r="AM29" s="111">
        <v>5</v>
      </c>
      <c r="AN29" s="111">
        <v>5</v>
      </c>
      <c r="AO29" s="111">
        <v>5</v>
      </c>
      <c r="AP29" s="111">
        <v>5</v>
      </c>
      <c r="AQ29" s="111">
        <v>5</v>
      </c>
      <c r="AR29" s="111">
        <v>5</v>
      </c>
      <c r="AS29" s="111">
        <v>5</v>
      </c>
      <c r="AT29" s="111">
        <v>5</v>
      </c>
      <c r="AU29" s="111">
        <v>5</v>
      </c>
      <c r="AV29" s="50" t="s">
        <v>199</v>
      </c>
      <c r="AW29" s="50" t="s">
        <v>199</v>
      </c>
      <c r="AX29" s="50" t="s">
        <v>199</v>
      </c>
      <c r="AY29" s="50" t="s">
        <v>200</v>
      </c>
      <c r="AZ29" s="50" t="s">
        <v>200</v>
      </c>
      <c r="BA29" s="50" t="s">
        <v>200</v>
      </c>
      <c r="BB29" s="50" t="s">
        <v>200</v>
      </c>
      <c r="BC29" s="50" t="s">
        <v>200</v>
      </c>
      <c r="BD29" s="50" t="s">
        <v>200</v>
      </c>
      <c r="BE29" s="50" t="s">
        <v>200</v>
      </c>
      <c r="BF29" s="50" t="s">
        <v>200</v>
      </c>
      <c r="BG29" s="50" t="s">
        <v>200</v>
      </c>
      <c r="BH29" s="50" t="s">
        <v>200</v>
      </c>
      <c r="BI29" s="50" t="s">
        <v>200</v>
      </c>
      <c r="BJ29" s="50" t="s">
        <v>200</v>
      </c>
      <c r="BK29" s="50" t="s">
        <v>200</v>
      </c>
      <c r="BL29" s="50" t="s">
        <v>200</v>
      </c>
      <c r="BM29" s="50" t="s">
        <v>436</v>
      </c>
      <c r="BN29" s="50" t="s">
        <v>318</v>
      </c>
      <c r="BO29" s="50" t="s">
        <v>91</v>
      </c>
      <c r="BP29" s="50" t="s">
        <v>286</v>
      </c>
      <c r="BQ29" s="50" t="s">
        <v>287</v>
      </c>
      <c r="BR29" s="50" t="s">
        <v>410</v>
      </c>
      <c r="BS29" s="111">
        <v>4</v>
      </c>
      <c r="BT29" s="50" t="s">
        <v>286</v>
      </c>
      <c r="BU29" s="50" t="s">
        <v>312</v>
      </c>
      <c r="BV29" s="50" t="s">
        <v>288</v>
      </c>
      <c r="BW29" s="50" t="s">
        <v>304</v>
      </c>
      <c r="BX29" s="50" t="s">
        <v>300</v>
      </c>
      <c r="BY29" s="50" t="s">
        <v>288</v>
      </c>
      <c r="BZ29" s="50" t="s">
        <v>287</v>
      </c>
      <c r="CA29" s="50"/>
      <c r="CB29" s="50" t="s">
        <v>287</v>
      </c>
      <c r="CC29" s="50" t="s">
        <v>287</v>
      </c>
      <c r="CD29" s="50" t="s">
        <v>287</v>
      </c>
      <c r="CE29" s="50"/>
      <c r="CF29" s="50" t="s">
        <v>287</v>
      </c>
      <c r="CG29" s="50" t="s">
        <v>287</v>
      </c>
      <c r="CH29" s="50" t="s">
        <v>486</v>
      </c>
      <c r="CI29" s="50" t="s">
        <v>287</v>
      </c>
      <c r="CJ29" s="50"/>
      <c r="CK29" s="50"/>
      <c r="CL29" s="50"/>
      <c r="CM29" s="50"/>
      <c r="CN29" s="50"/>
      <c r="CO29" s="50"/>
      <c r="CP29" s="50"/>
      <c r="CQ29" s="50"/>
      <c r="CR29" s="50"/>
      <c r="CS29" s="50"/>
    </row>
    <row r="30" spans="1:97" ht="36.75" customHeight="1" thickBot="1">
      <c r="A30" s="49">
        <v>46083.579710648148</v>
      </c>
      <c r="B30" s="50" t="s">
        <v>40</v>
      </c>
      <c r="C30" s="50" t="s">
        <v>46</v>
      </c>
      <c r="D30" s="50" t="s">
        <v>374</v>
      </c>
      <c r="E30" s="50" t="s">
        <v>61</v>
      </c>
      <c r="F30" s="50" t="s">
        <v>286</v>
      </c>
      <c r="G30" s="50" t="s">
        <v>73</v>
      </c>
      <c r="H30" s="50" t="s">
        <v>496</v>
      </c>
      <c r="I30" s="50" t="s">
        <v>81</v>
      </c>
      <c r="J30" s="50" t="s">
        <v>286</v>
      </c>
      <c r="K30" s="50" t="s">
        <v>287</v>
      </c>
      <c r="L30" s="50" t="s">
        <v>336</v>
      </c>
      <c r="M30" s="50" t="s">
        <v>7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5</v>
      </c>
      <c r="AF30" s="111">
        <v>5</v>
      </c>
      <c r="AG30" s="111">
        <v>5</v>
      </c>
      <c r="AH30" s="111">
        <v>5</v>
      </c>
      <c r="AI30" s="111">
        <v>5</v>
      </c>
      <c r="AJ30" s="111">
        <v>5</v>
      </c>
      <c r="AK30" s="111">
        <v>5</v>
      </c>
      <c r="AL30" s="111">
        <v>5</v>
      </c>
      <c r="AM30" s="111">
        <v>5</v>
      </c>
      <c r="AN30" s="111">
        <v>5</v>
      </c>
      <c r="AO30" s="111">
        <v>5</v>
      </c>
      <c r="AP30" s="111">
        <v>5</v>
      </c>
      <c r="AQ30" s="111">
        <v>5</v>
      </c>
      <c r="AR30" s="111">
        <v>5</v>
      </c>
      <c r="AS30" s="111">
        <v>5</v>
      </c>
      <c r="AT30" s="111">
        <v>5</v>
      </c>
      <c r="AU30" s="111">
        <v>5</v>
      </c>
      <c r="AV30" s="50" t="s">
        <v>199</v>
      </c>
      <c r="AW30" s="50" t="s">
        <v>199</v>
      </c>
      <c r="AX30" s="50" t="s">
        <v>199</v>
      </c>
      <c r="AY30" s="50" t="s">
        <v>200</v>
      </c>
      <c r="AZ30" s="50" t="s">
        <v>200</v>
      </c>
      <c r="BA30" s="50" t="s">
        <v>200</v>
      </c>
      <c r="BB30" s="50" t="s">
        <v>200</v>
      </c>
      <c r="BC30" s="50" t="s">
        <v>200</v>
      </c>
      <c r="BD30" s="50" t="s">
        <v>200</v>
      </c>
      <c r="BE30" s="50" t="s">
        <v>200</v>
      </c>
      <c r="BF30" s="50" t="s">
        <v>200</v>
      </c>
      <c r="BG30" s="50" t="s">
        <v>200</v>
      </c>
      <c r="BH30" s="50" t="s">
        <v>200</v>
      </c>
      <c r="BI30" s="50" t="s">
        <v>200</v>
      </c>
      <c r="BJ30" s="50" t="s">
        <v>200</v>
      </c>
      <c r="BK30" s="50" t="s">
        <v>200</v>
      </c>
      <c r="BL30" s="50" t="s">
        <v>200</v>
      </c>
      <c r="BM30" s="50" t="s">
        <v>436</v>
      </c>
      <c r="BN30" s="50" t="s">
        <v>318</v>
      </c>
      <c r="BO30" s="50" t="s">
        <v>91</v>
      </c>
      <c r="BP30" s="50" t="s">
        <v>286</v>
      </c>
      <c r="BQ30" s="50" t="s">
        <v>287</v>
      </c>
      <c r="BR30" s="50" t="s">
        <v>382</v>
      </c>
      <c r="BS30" s="111">
        <v>5</v>
      </c>
      <c r="BT30" s="50" t="s">
        <v>286</v>
      </c>
      <c r="BU30" s="50" t="s">
        <v>312</v>
      </c>
      <c r="BV30" s="50" t="s">
        <v>288</v>
      </c>
      <c r="BW30" s="50" t="s">
        <v>297</v>
      </c>
      <c r="BX30" s="50" t="s">
        <v>290</v>
      </c>
      <c r="BY30" s="50" t="s">
        <v>288</v>
      </c>
      <c r="BZ30" s="50" t="s">
        <v>287</v>
      </c>
      <c r="CA30" s="50"/>
      <c r="CB30" s="50" t="s">
        <v>287</v>
      </c>
      <c r="CC30" s="50" t="s">
        <v>287</v>
      </c>
      <c r="CD30" s="50" t="s">
        <v>287</v>
      </c>
      <c r="CE30" s="50"/>
      <c r="CF30" s="50" t="s">
        <v>287</v>
      </c>
      <c r="CG30" s="50" t="s">
        <v>287</v>
      </c>
      <c r="CH30" s="50" t="s">
        <v>486</v>
      </c>
      <c r="CI30" s="50" t="s">
        <v>287</v>
      </c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97" ht="36.75" customHeight="1" thickBot="1">
      <c r="A31" s="49">
        <v>46083.580636574072</v>
      </c>
      <c r="B31" s="50" t="s">
        <v>40</v>
      </c>
      <c r="C31" s="50" t="s">
        <v>46</v>
      </c>
      <c r="D31" s="50" t="s">
        <v>374</v>
      </c>
      <c r="E31" s="50" t="s">
        <v>63</v>
      </c>
      <c r="F31" s="50" t="s">
        <v>286</v>
      </c>
      <c r="G31" s="50" t="s">
        <v>73</v>
      </c>
      <c r="H31" s="50" t="s">
        <v>343</v>
      </c>
      <c r="I31" s="50" t="s">
        <v>91</v>
      </c>
      <c r="J31" s="50" t="s">
        <v>286</v>
      </c>
      <c r="K31" s="50" t="s">
        <v>291</v>
      </c>
      <c r="L31" s="50" t="s">
        <v>286</v>
      </c>
      <c r="M31" s="50" t="s">
        <v>370</v>
      </c>
      <c r="N31" s="111">
        <v>5</v>
      </c>
      <c r="O31" s="111">
        <v>5</v>
      </c>
      <c r="P31" s="111">
        <v>5</v>
      </c>
      <c r="Q31" s="111">
        <v>6</v>
      </c>
      <c r="R31" s="111">
        <v>6</v>
      </c>
      <c r="S31" s="111">
        <v>6</v>
      </c>
      <c r="T31" s="111">
        <v>4</v>
      </c>
      <c r="U31" s="111">
        <v>5</v>
      </c>
      <c r="V31" s="111">
        <v>6</v>
      </c>
      <c r="W31" s="111">
        <v>6</v>
      </c>
      <c r="X31" s="111">
        <v>6</v>
      </c>
      <c r="Y31" s="111">
        <v>6</v>
      </c>
      <c r="Z31" s="111">
        <v>6</v>
      </c>
      <c r="AA31" s="111">
        <v>6</v>
      </c>
      <c r="AB31" s="111">
        <v>6</v>
      </c>
      <c r="AC31" s="111">
        <v>5</v>
      </c>
      <c r="AD31" s="111">
        <v>5</v>
      </c>
      <c r="AE31" s="111">
        <v>5</v>
      </c>
      <c r="AF31" s="111">
        <v>5</v>
      </c>
      <c r="AG31" s="111">
        <v>5</v>
      </c>
      <c r="AH31" s="111">
        <v>5</v>
      </c>
      <c r="AI31" s="111">
        <v>5</v>
      </c>
      <c r="AJ31" s="111">
        <v>5</v>
      </c>
      <c r="AK31" s="111">
        <v>5</v>
      </c>
      <c r="AL31" s="111">
        <v>5</v>
      </c>
      <c r="AM31" s="111">
        <v>5</v>
      </c>
      <c r="AN31" s="111">
        <v>5</v>
      </c>
      <c r="AO31" s="111">
        <v>5</v>
      </c>
      <c r="AP31" s="111">
        <v>5</v>
      </c>
      <c r="AQ31" s="111">
        <v>6</v>
      </c>
      <c r="AR31" s="111">
        <v>5</v>
      </c>
      <c r="AS31" s="111">
        <v>5</v>
      </c>
      <c r="AT31" s="111">
        <v>5</v>
      </c>
      <c r="AU31" s="111">
        <v>5</v>
      </c>
      <c r="AV31" s="50" t="s">
        <v>200</v>
      </c>
      <c r="AW31" s="50" t="s">
        <v>202</v>
      </c>
      <c r="AX31" s="50" t="s">
        <v>201</v>
      </c>
      <c r="AY31" s="50" t="s">
        <v>199</v>
      </c>
      <c r="AZ31" s="50" t="s">
        <v>202</v>
      </c>
      <c r="BA31" s="50" t="s">
        <v>202</v>
      </c>
      <c r="BB31" s="50" t="s">
        <v>202</v>
      </c>
      <c r="BC31" s="50" t="s">
        <v>202</v>
      </c>
      <c r="BD31" s="50" t="s">
        <v>202</v>
      </c>
      <c r="BE31" s="50" t="s">
        <v>201</v>
      </c>
      <c r="BF31" s="50" t="s">
        <v>201</v>
      </c>
      <c r="BG31" s="50" t="s">
        <v>202</v>
      </c>
      <c r="BH31" s="50" t="s">
        <v>200</v>
      </c>
      <c r="BI31" s="50" t="s">
        <v>202</v>
      </c>
      <c r="BJ31" s="50" t="s">
        <v>202</v>
      </c>
      <c r="BK31" s="50" t="s">
        <v>202</v>
      </c>
      <c r="BL31" s="50" t="s">
        <v>202</v>
      </c>
      <c r="BM31" s="50" t="s">
        <v>436</v>
      </c>
      <c r="BN31" s="50" t="s">
        <v>480</v>
      </c>
      <c r="BO31" s="50" t="s">
        <v>91</v>
      </c>
      <c r="BP31" s="50" t="s">
        <v>286</v>
      </c>
      <c r="BQ31" s="50" t="s">
        <v>287</v>
      </c>
      <c r="BR31" s="50" t="s">
        <v>454</v>
      </c>
      <c r="BS31" s="111">
        <v>5</v>
      </c>
      <c r="BT31" s="50" t="s">
        <v>286</v>
      </c>
      <c r="BU31" s="50" t="s">
        <v>348</v>
      </c>
      <c r="BV31" s="50" t="s">
        <v>288</v>
      </c>
      <c r="BW31" s="50" t="s">
        <v>350</v>
      </c>
      <c r="BX31" s="50" t="s">
        <v>387</v>
      </c>
      <c r="BY31" s="50" t="s">
        <v>288</v>
      </c>
      <c r="BZ31" s="50" t="s">
        <v>287</v>
      </c>
      <c r="CA31" s="50"/>
      <c r="CB31" s="50" t="s">
        <v>287</v>
      </c>
      <c r="CC31" s="50" t="s">
        <v>287</v>
      </c>
      <c r="CD31" s="50" t="s">
        <v>287</v>
      </c>
      <c r="CE31" s="50"/>
      <c r="CF31" s="50" t="s">
        <v>287</v>
      </c>
      <c r="CG31" s="50" t="s">
        <v>287</v>
      </c>
      <c r="CH31" s="50" t="s">
        <v>486</v>
      </c>
      <c r="CI31" s="50" t="s">
        <v>287</v>
      </c>
      <c r="CJ31" s="50"/>
      <c r="CK31" s="50"/>
      <c r="CL31" s="50"/>
      <c r="CM31" s="50"/>
      <c r="CN31" s="50"/>
      <c r="CO31" s="50"/>
      <c r="CP31" s="50"/>
      <c r="CQ31" s="50"/>
      <c r="CR31" s="50"/>
      <c r="CS31" s="50"/>
    </row>
    <row r="32" spans="1:97" ht="36.75" customHeight="1" thickBot="1">
      <c r="A32" s="49">
        <v>46083.583113425928</v>
      </c>
      <c r="B32" s="50" t="s">
        <v>40</v>
      </c>
      <c r="C32" s="50" t="s">
        <v>45</v>
      </c>
      <c r="D32" s="50" t="s">
        <v>374</v>
      </c>
      <c r="E32" s="50" t="s">
        <v>63</v>
      </c>
      <c r="F32" s="50" t="s">
        <v>286</v>
      </c>
      <c r="G32" s="50" t="s">
        <v>73</v>
      </c>
      <c r="H32" s="50" t="s">
        <v>345</v>
      </c>
      <c r="I32" s="50" t="s">
        <v>91</v>
      </c>
      <c r="J32" s="50" t="s">
        <v>286</v>
      </c>
      <c r="K32" s="50" t="s">
        <v>291</v>
      </c>
      <c r="L32" s="50" t="s">
        <v>286</v>
      </c>
      <c r="M32" s="50" t="s">
        <v>370</v>
      </c>
      <c r="N32" s="111">
        <v>5</v>
      </c>
      <c r="O32" s="111">
        <v>5</v>
      </c>
      <c r="P32" s="111">
        <v>5</v>
      </c>
      <c r="Q32" s="111">
        <v>5</v>
      </c>
      <c r="R32" s="111">
        <v>6</v>
      </c>
      <c r="S32" s="111">
        <v>6</v>
      </c>
      <c r="T32" s="111">
        <v>4</v>
      </c>
      <c r="U32" s="111">
        <v>5</v>
      </c>
      <c r="V32" s="111">
        <v>6</v>
      </c>
      <c r="W32" s="111">
        <v>6</v>
      </c>
      <c r="X32" s="111">
        <v>6</v>
      </c>
      <c r="Y32" s="111">
        <v>6</v>
      </c>
      <c r="Z32" s="111">
        <v>6</v>
      </c>
      <c r="AA32" s="111">
        <v>6</v>
      </c>
      <c r="AB32" s="111">
        <v>6</v>
      </c>
      <c r="AC32" s="111">
        <v>5</v>
      </c>
      <c r="AD32" s="111">
        <v>5</v>
      </c>
      <c r="AE32" s="111">
        <v>5</v>
      </c>
      <c r="AF32" s="111">
        <v>5</v>
      </c>
      <c r="AG32" s="111">
        <v>5</v>
      </c>
      <c r="AH32" s="111">
        <v>5</v>
      </c>
      <c r="AI32" s="111">
        <v>5</v>
      </c>
      <c r="AJ32" s="111">
        <v>5</v>
      </c>
      <c r="AK32" s="111">
        <v>5</v>
      </c>
      <c r="AL32" s="111">
        <v>5</v>
      </c>
      <c r="AM32" s="111">
        <v>5</v>
      </c>
      <c r="AN32" s="111">
        <v>5</v>
      </c>
      <c r="AO32" s="111">
        <v>5</v>
      </c>
      <c r="AP32" s="111">
        <v>5</v>
      </c>
      <c r="AQ32" s="111">
        <v>6</v>
      </c>
      <c r="AR32" s="111">
        <v>5</v>
      </c>
      <c r="AS32" s="111">
        <v>5</v>
      </c>
      <c r="AT32" s="111">
        <v>5</v>
      </c>
      <c r="AU32" s="111">
        <v>5</v>
      </c>
      <c r="AV32" s="50" t="s">
        <v>202</v>
      </c>
      <c r="AW32" s="50" t="s">
        <v>202</v>
      </c>
      <c r="AX32" s="50" t="s">
        <v>201</v>
      </c>
      <c r="AY32" s="50" t="s">
        <v>199</v>
      </c>
      <c r="AZ32" s="50" t="s">
        <v>202</v>
      </c>
      <c r="BA32" s="50" t="s">
        <v>199</v>
      </c>
      <c r="BB32" s="50" t="s">
        <v>202</v>
      </c>
      <c r="BC32" s="50" t="s">
        <v>202</v>
      </c>
      <c r="BD32" s="50" t="s">
        <v>202</v>
      </c>
      <c r="BE32" s="50" t="s">
        <v>200</v>
      </c>
      <c r="BF32" s="50" t="s">
        <v>201</v>
      </c>
      <c r="BG32" s="50" t="s">
        <v>202</v>
      </c>
      <c r="BH32" s="50" t="s">
        <v>201</v>
      </c>
      <c r="BI32" s="50" t="s">
        <v>202</v>
      </c>
      <c r="BJ32" s="50" t="s">
        <v>202</v>
      </c>
      <c r="BK32" s="50" t="s">
        <v>202</v>
      </c>
      <c r="BL32" s="50" t="s">
        <v>202</v>
      </c>
      <c r="BM32" s="50" t="s">
        <v>436</v>
      </c>
      <c r="BN32" s="50" t="s">
        <v>480</v>
      </c>
      <c r="BO32" s="50" t="s">
        <v>91</v>
      </c>
      <c r="BP32" s="50" t="s">
        <v>286</v>
      </c>
      <c r="BQ32" s="50" t="s">
        <v>287</v>
      </c>
      <c r="BR32" s="50" t="s">
        <v>396</v>
      </c>
      <c r="BS32" s="111">
        <v>5</v>
      </c>
      <c r="BT32" s="50" t="s">
        <v>286</v>
      </c>
      <c r="BU32" s="50" t="s">
        <v>348</v>
      </c>
      <c r="BV32" s="50" t="s">
        <v>288</v>
      </c>
      <c r="BW32" s="50" t="s">
        <v>350</v>
      </c>
      <c r="BX32" s="50" t="s">
        <v>387</v>
      </c>
      <c r="BY32" s="50" t="s">
        <v>288</v>
      </c>
      <c r="BZ32" s="50" t="s">
        <v>287</v>
      </c>
      <c r="CA32" s="50"/>
      <c r="CB32" s="50" t="s">
        <v>287</v>
      </c>
      <c r="CC32" s="50" t="s">
        <v>287</v>
      </c>
      <c r="CD32" s="50" t="s">
        <v>287</v>
      </c>
      <c r="CE32" s="50"/>
      <c r="CF32" s="50" t="s">
        <v>287</v>
      </c>
      <c r="CG32" s="50" t="s">
        <v>287</v>
      </c>
      <c r="CH32" s="50" t="s">
        <v>486</v>
      </c>
      <c r="CI32" s="50" t="s">
        <v>287</v>
      </c>
      <c r="CJ32" s="50"/>
      <c r="CK32" s="50"/>
      <c r="CL32" s="50"/>
      <c r="CM32" s="50"/>
      <c r="CN32" s="50"/>
      <c r="CO32" s="50"/>
      <c r="CP32" s="50"/>
      <c r="CQ32" s="50"/>
      <c r="CR32" s="50"/>
      <c r="CS32" s="50"/>
    </row>
    <row r="33" spans="1:97" ht="36.75" customHeight="1" thickBot="1">
      <c r="A33" s="49">
        <v>46083.595300925925</v>
      </c>
      <c r="B33" s="50" t="s">
        <v>40</v>
      </c>
      <c r="C33" s="50" t="s">
        <v>45</v>
      </c>
      <c r="D33" s="50" t="s">
        <v>374</v>
      </c>
      <c r="E33" s="50" t="s">
        <v>61</v>
      </c>
      <c r="F33" s="50" t="s">
        <v>286</v>
      </c>
      <c r="G33" s="50" t="s">
        <v>73</v>
      </c>
      <c r="H33" s="50" t="s">
        <v>497</v>
      </c>
      <c r="I33" s="50" t="s">
        <v>81</v>
      </c>
      <c r="J33" s="50" t="s">
        <v>286</v>
      </c>
      <c r="K33" s="50" t="s">
        <v>287</v>
      </c>
      <c r="L33" s="50" t="s">
        <v>336</v>
      </c>
      <c r="M33" s="50" t="s">
        <v>7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5</v>
      </c>
      <c r="Y33" s="111">
        <v>5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5</v>
      </c>
      <c r="AH33" s="111">
        <v>5</v>
      </c>
      <c r="AI33" s="111">
        <v>5</v>
      </c>
      <c r="AJ33" s="111">
        <v>5</v>
      </c>
      <c r="AK33" s="111">
        <v>5</v>
      </c>
      <c r="AL33" s="111">
        <v>5</v>
      </c>
      <c r="AM33" s="111">
        <v>5</v>
      </c>
      <c r="AN33" s="111">
        <v>5</v>
      </c>
      <c r="AO33" s="111">
        <v>5</v>
      </c>
      <c r="AP33" s="111">
        <v>5</v>
      </c>
      <c r="AQ33" s="111">
        <v>5</v>
      </c>
      <c r="AR33" s="111">
        <v>5</v>
      </c>
      <c r="AS33" s="111">
        <v>5</v>
      </c>
      <c r="AT33" s="111">
        <v>5</v>
      </c>
      <c r="AU33" s="111">
        <v>5</v>
      </c>
      <c r="AV33" s="50" t="s">
        <v>199</v>
      </c>
      <c r="AW33" s="50" t="s">
        <v>199</v>
      </c>
      <c r="AX33" s="50" t="s">
        <v>199</v>
      </c>
      <c r="AY33" s="50" t="s">
        <v>200</v>
      </c>
      <c r="AZ33" s="50" t="s">
        <v>200</v>
      </c>
      <c r="BA33" s="50" t="s">
        <v>200</v>
      </c>
      <c r="BB33" s="50" t="s">
        <v>200</v>
      </c>
      <c r="BC33" s="50" t="s">
        <v>200</v>
      </c>
      <c r="BD33" s="50" t="s">
        <v>200</v>
      </c>
      <c r="BE33" s="50" t="s">
        <v>200</v>
      </c>
      <c r="BF33" s="50" t="s">
        <v>200</v>
      </c>
      <c r="BG33" s="50" t="s">
        <v>200</v>
      </c>
      <c r="BH33" s="50" t="s">
        <v>200</v>
      </c>
      <c r="BI33" s="50" t="s">
        <v>200</v>
      </c>
      <c r="BJ33" s="50" t="s">
        <v>200</v>
      </c>
      <c r="BK33" s="50" t="s">
        <v>200</v>
      </c>
      <c r="BL33" s="50" t="s">
        <v>200</v>
      </c>
      <c r="BM33" s="50" t="s">
        <v>436</v>
      </c>
      <c r="BN33" s="50" t="s">
        <v>318</v>
      </c>
      <c r="BO33" s="50" t="s">
        <v>91</v>
      </c>
      <c r="BP33" s="50" t="s">
        <v>286</v>
      </c>
      <c r="BQ33" s="50" t="s">
        <v>287</v>
      </c>
      <c r="BR33" s="50" t="s">
        <v>403</v>
      </c>
      <c r="BS33" s="111">
        <v>4</v>
      </c>
      <c r="BT33" s="50" t="s">
        <v>286</v>
      </c>
      <c r="BU33" s="50" t="s">
        <v>312</v>
      </c>
      <c r="BV33" s="50" t="s">
        <v>288</v>
      </c>
      <c r="BW33" s="50" t="s">
        <v>304</v>
      </c>
      <c r="BX33" s="50" t="s">
        <v>300</v>
      </c>
      <c r="BY33" s="50" t="s">
        <v>91</v>
      </c>
      <c r="BZ33" s="50" t="s">
        <v>287</v>
      </c>
      <c r="CA33" s="50"/>
      <c r="CB33" s="50" t="s">
        <v>287</v>
      </c>
      <c r="CC33" s="50" t="s">
        <v>287</v>
      </c>
      <c r="CD33" s="50" t="s">
        <v>287</v>
      </c>
      <c r="CE33" s="50"/>
      <c r="CF33" s="50" t="s">
        <v>287</v>
      </c>
      <c r="CG33" s="50" t="s">
        <v>287</v>
      </c>
      <c r="CH33" s="50" t="s">
        <v>486</v>
      </c>
      <c r="CI33" s="50" t="s">
        <v>287</v>
      </c>
      <c r="CJ33" s="50"/>
      <c r="CK33" s="50"/>
      <c r="CL33" s="50"/>
      <c r="CM33" s="50"/>
      <c r="CN33" s="50"/>
      <c r="CO33" s="50"/>
      <c r="CP33" s="50"/>
      <c r="CQ33" s="50"/>
      <c r="CR33" s="50"/>
      <c r="CS33" s="50"/>
    </row>
    <row r="34" spans="1:97" ht="36.75" customHeight="1" thickBot="1">
      <c r="A34" s="49">
        <v>46083.597939814812</v>
      </c>
      <c r="B34" s="50" t="s">
        <v>40</v>
      </c>
      <c r="C34" s="50" t="s">
        <v>45</v>
      </c>
      <c r="D34" s="50" t="s">
        <v>374</v>
      </c>
      <c r="E34" s="50" t="s">
        <v>61</v>
      </c>
      <c r="F34" s="50" t="s">
        <v>286</v>
      </c>
      <c r="G34" s="50" t="s">
        <v>73</v>
      </c>
      <c r="H34" s="50" t="s">
        <v>298</v>
      </c>
      <c r="I34" s="50" t="s">
        <v>81</v>
      </c>
      <c r="J34" s="50" t="s">
        <v>286</v>
      </c>
      <c r="K34" s="50" t="s">
        <v>287</v>
      </c>
      <c r="L34" s="50" t="s">
        <v>336</v>
      </c>
      <c r="M34" s="50" t="s">
        <v>7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5</v>
      </c>
      <c r="AH34" s="111">
        <v>5</v>
      </c>
      <c r="AI34" s="111">
        <v>5</v>
      </c>
      <c r="AJ34" s="111">
        <v>5</v>
      </c>
      <c r="AK34" s="111">
        <v>5</v>
      </c>
      <c r="AL34" s="111">
        <v>5</v>
      </c>
      <c r="AM34" s="111">
        <v>5</v>
      </c>
      <c r="AN34" s="111">
        <v>5</v>
      </c>
      <c r="AO34" s="111">
        <v>5</v>
      </c>
      <c r="AP34" s="111">
        <v>5</v>
      </c>
      <c r="AQ34" s="111">
        <v>5</v>
      </c>
      <c r="AR34" s="111">
        <v>5</v>
      </c>
      <c r="AS34" s="111">
        <v>5</v>
      </c>
      <c r="AT34" s="111">
        <v>5</v>
      </c>
      <c r="AU34" s="111">
        <v>5</v>
      </c>
      <c r="AV34" s="50" t="s">
        <v>199</v>
      </c>
      <c r="AW34" s="50" t="s">
        <v>199</v>
      </c>
      <c r="AX34" s="50" t="s">
        <v>199</v>
      </c>
      <c r="AY34" s="50" t="s">
        <v>200</v>
      </c>
      <c r="AZ34" s="50" t="s">
        <v>200</v>
      </c>
      <c r="BA34" s="50" t="s">
        <v>200</v>
      </c>
      <c r="BB34" s="50" t="s">
        <v>200</v>
      </c>
      <c r="BC34" s="50" t="s">
        <v>200</v>
      </c>
      <c r="BD34" s="50" t="s">
        <v>200</v>
      </c>
      <c r="BE34" s="50" t="s">
        <v>200</v>
      </c>
      <c r="BF34" s="50" t="s">
        <v>200</v>
      </c>
      <c r="BG34" s="50" t="s">
        <v>200</v>
      </c>
      <c r="BH34" s="50" t="s">
        <v>200</v>
      </c>
      <c r="BI34" s="50" t="s">
        <v>200</v>
      </c>
      <c r="BJ34" s="50" t="s">
        <v>200</v>
      </c>
      <c r="BK34" s="50" t="s">
        <v>200</v>
      </c>
      <c r="BL34" s="50" t="s">
        <v>200</v>
      </c>
      <c r="BM34" s="50" t="s">
        <v>436</v>
      </c>
      <c r="BN34" s="50" t="s">
        <v>318</v>
      </c>
      <c r="BO34" s="50" t="s">
        <v>91</v>
      </c>
      <c r="BP34" s="50" t="s">
        <v>286</v>
      </c>
      <c r="BQ34" s="50" t="s">
        <v>287</v>
      </c>
      <c r="BR34" s="50" t="s">
        <v>404</v>
      </c>
      <c r="BS34" s="111">
        <v>4</v>
      </c>
      <c r="BT34" s="50" t="s">
        <v>286</v>
      </c>
      <c r="BU34" s="50" t="s">
        <v>312</v>
      </c>
      <c r="BV34" s="50" t="s">
        <v>288</v>
      </c>
      <c r="BW34" s="50" t="s">
        <v>303</v>
      </c>
      <c r="BX34" s="50" t="s">
        <v>290</v>
      </c>
      <c r="BY34" s="50" t="s">
        <v>288</v>
      </c>
      <c r="BZ34" s="50" t="s">
        <v>287</v>
      </c>
      <c r="CA34" s="50"/>
      <c r="CB34" s="50" t="s">
        <v>287</v>
      </c>
      <c r="CC34" s="50" t="s">
        <v>287</v>
      </c>
      <c r="CD34" s="50" t="s">
        <v>287</v>
      </c>
      <c r="CE34" s="50"/>
      <c r="CF34" s="50" t="s">
        <v>287</v>
      </c>
      <c r="CG34" s="50" t="s">
        <v>287</v>
      </c>
      <c r="CH34" s="50" t="s">
        <v>486</v>
      </c>
      <c r="CI34" s="50" t="s">
        <v>287</v>
      </c>
      <c r="CJ34" s="50"/>
      <c r="CK34" s="50"/>
      <c r="CL34" s="50"/>
      <c r="CM34" s="50"/>
      <c r="CN34" s="50"/>
      <c r="CO34" s="50"/>
      <c r="CP34" s="50"/>
      <c r="CQ34" s="50"/>
      <c r="CR34" s="50"/>
      <c r="CS34" s="50"/>
    </row>
    <row r="35" spans="1:97" ht="36.75" customHeight="1" thickBot="1">
      <c r="A35" s="49">
        <v>46083.600219907406</v>
      </c>
      <c r="B35" s="50" t="s">
        <v>40</v>
      </c>
      <c r="C35" s="50" t="s">
        <v>45</v>
      </c>
      <c r="D35" s="50" t="s">
        <v>374</v>
      </c>
      <c r="E35" s="50" t="s">
        <v>62</v>
      </c>
      <c r="F35" s="50" t="s">
        <v>286</v>
      </c>
      <c r="G35" s="50" t="s">
        <v>73</v>
      </c>
      <c r="H35" s="50" t="s">
        <v>332</v>
      </c>
      <c r="I35" s="50" t="s">
        <v>81</v>
      </c>
      <c r="J35" s="50" t="s">
        <v>286</v>
      </c>
      <c r="K35" s="50" t="s">
        <v>287</v>
      </c>
      <c r="L35" s="50" t="s">
        <v>336</v>
      </c>
      <c r="M35" s="50" t="s">
        <v>7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5</v>
      </c>
      <c r="AH35" s="111">
        <v>5</v>
      </c>
      <c r="AI35" s="111">
        <v>5</v>
      </c>
      <c r="AJ35" s="111">
        <v>5</v>
      </c>
      <c r="AK35" s="111">
        <v>5</v>
      </c>
      <c r="AL35" s="111">
        <v>5</v>
      </c>
      <c r="AM35" s="111">
        <v>5</v>
      </c>
      <c r="AN35" s="111">
        <v>5</v>
      </c>
      <c r="AO35" s="111">
        <v>5</v>
      </c>
      <c r="AP35" s="111">
        <v>5</v>
      </c>
      <c r="AQ35" s="111">
        <v>5</v>
      </c>
      <c r="AR35" s="111">
        <v>5</v>
      </c>
      <c r="AS35" s="111">
        <v>5</v>
      </c>
      <c r="AT35" s="111">
        <v>5</v>
      </c>
      <c r="AU35" s="111">
        <v>5</v>
      </c>
      <c r="AV35" s="50" t="s">
        <v>199</v>
      </c>
      <c r="AW35" s="50" t="s">
        <v>199</v>
      </c>
      <c r="AX35" s="50" t="s">
        <v>199</v>
      </c>
      <c r="AY35" s="50" t="s">
        <v>200</v>
      </c>
      <c r="AZ35" s="50" t="s">
        <v>200</v>
      </c>
      <c r="BA35" s="50" t="s">
        <v>200</v>
      </c>
      <c r="BB35" s="50" t="s">
        <v>200</v>
      </c>
      <c r="BC35" s="50" t="s">
        <v>200</v>
      </c>
      <c r="BD35" s="50" t="s">
        <v>200</v>
      </c>
      <c r="BE35" s="50" t="s">
        <v>200</v>
      </c>
      <c r="BF35" s="50" t="s">
        <v>200</v>
      </c>
      <c r="BG35" s="50" t="s">
        <v>200</v>
      </c>
      <c r="BH35" s="50" t="s">
        <v>200</v>
      </c>
      <c r="BI35" s="50" t="s">
        <v>200</v>
      </c>
      <c r="BJ35" s="50" t="s">
        <v>200</v>
      </c>
      <c r="BK35" s="50" t="s">
        <v>200</v>
      </c>
      <c r="BL35" s="50" t="s">
        <v>200</v>
      </c>
      <c r="BM35" s="50" t="s">
        <v>436</v>
      </c>
      <c r="BN35" s="50" t="s">
        <v>318</v>
      </c>
      <c r="BO35" s="50" t="s">
        <v>91</v>
      </c>
      <c r="BP35" s="50" t="s">
        <v>286</v>
      </c>
      <c r="BQ35" s="50" t="s">
        <v>287</v>
      </c>
      <c r="BR35" s="50" t="s">
        <v>373</v>
      </c>
      <c r="BS35" s="111">
        <v>4</v>
      </c>
      <c r="BT35" s="50" t="s">
        <v>286</v>
      </c>
      <c r="BU35" s="50" t="s">
        <v>312</v>
      </c>
      <c r="BV35" s="50" t="s">
        <v>288</v>
      </c>
      <c r="BW35" s="50" t="s">
        <v>293</v>
      </c>
      <c r="BX35" s="50" t="s">
        <v>296</v>
      </c>
      <c r="BY35" s="50" t="s">
        <v>288</v>
      </c>
      <c r="BZ35" s="50" t="s">
        <v>287</v>
      </c>
      <c r="CA35" s="50"/>
      <c r="CB35" s="50" t="s">
        <v>287</v>
      </c>
      <c r="CC35" s="50" t="s">
        <v>287</v>
      </c>
      <c r="CD35" s="50" t="s">
        <v>287</v>
      </c>
      <c r="CE35" s="50"/>
      <c r="CF35" s="50" t="s">
        <v>287</v>
      </c>
      <c r="CG35" s="50" t="s">
        <v>287</v>
      </c>
      <c r="CH35" s="50" t="s">
        <v>486</v>
      </c>
      <c r="CI35" s="50" t="s">
        <v>287</v>
      </c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ht="36.75" customHeight="1" thickBot="1">
      <c r="A36" s="49">
        <v>46083.602592592593</v>
      </c>
      <c r="B36" s="50" t="s">
        <v>40</v>
      </c>
      <c r="C36" s="50" t="s">
        <v>45</v>
      </c>
      <c r="D36" s="50" t="s">
        <v>369</v>
      </c>
      <c r="E36" s="50" t="s">
        <v>285</v>
      </c>
      <c r="F36" s="50" t="s">
        <v>286</v>
      </c>
      <c r="G36" s="50" t="s">
        <v>73</v>
      </c>
      <c r="H36" s="50" t="s">
        <v>320</v>
      </c>
      <c r="I36" s="50" t="s">
        <v>81</v>
      </c>
      <c r="J36" s="50" t="s">
        <v>286</v>
      </c>
      <c r="K36" s="50" t="s">
        <v>287</v>
      </c>
      <c r="L36" s="50" t="s">
        <v>336</v>
      </c>
      <c r="M36" s="50" t="s">
        <v>7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5</v>
      </c>
      <c r="AH36" s="111">
        <v>5</v>
      </c>
      <c r="AI36" s="111">
        <v>5</v>
      </c>
      <c r="AJ36" s="111">
        <v>5</v>
      </c>
      <c r="AK36" s="111">
        <v>5</v>
      </c>
      <c r="AL36" s="111">
        <v>5</v>
      </c>
      <c r="AM36" s="111">
        <v>5</v>
      </c>
      <c r="AN36" s="111">
        <v>5</v>
      </c>
      <c r="AO36" s="111">
        <v>5</v>
      </c>
      <c r="AP36" s="111">
        <v>5</v>
      </c>
      <c r="AQ36" s="111">
        <v>5</v>
      </c>
      <c r="AR36" s="111">
        <v>5</v>
      </c>
      <c r="AS36" s="111">
        <v>5</v>
      </c>
      <c r="AT36" s="111">
        <v>5</v>
      </c>
      <c r="AU36" s="111">
        <v>5</v>
      </c>
      <c r="AV36" s="50" t="s">
        <v>199</v>
      </c>
      <c r="AW36" s="50" t="s">
        <v>199</v>
      </c>
      <c r="AX36" s="50" t="s">
        <v>199</v>
      </c>
      <c r="AY36" s="50" t="s">
        <v>200</v>
      </c>
      <c r="AZ36" s="50" t="s">
        <v>200</v>
      </c>
      <c r="BA36" s="50" t="s">
        <v>200</v>
      </c>
      <c r="BB36" s="50" t="s">
        <v>200</v>
      </c>
      <c r="BC36" s="50" t="s">
        <v>200</v>
      </c>
      <c r="BD36" s="50" t="s">
        <v>200</v>
      </c>
      <c r="BE36" s="50" t="s">
        <v>200</v>
      </c>
      <c r="BF36" s="50" t="s">
        <v>200</v>
      </c>
      <c r="BG36" s="50" t="s">
        <v>200</v>
      </c>
      <c r="BH36" s="50" t="s">
        <v>200</v>
      </c>
      <c r="BI36" s="50" t="s">
        <v>200</v>
      </c>
      <c r="BJ36" s="50" t="s">
        <v>200</v>
      </c>
      <c r="BK36" s="50" t="s">
        <v>200</v>
      </c>
      <c r="BL36" s="50" t="s">
        <v>200</v>
      </c>
      <c r="BM36" s="50" t="s">
        <v>436</v>
      </c>
      <c r="BN36" s="50" t="s">
        <v>318</v>
      </c>
      <c r="BO36" s="50" t="s">
        <v>91</v>
      </c>
      <c r="BP36" s="50" t="s">
        <v>286</v>
      </c>
      <c r="BQ36" s="50" t="s">
        <v>287</v>
      </c>
      <c r="BR36" s="50" t="s">
        <v>373</v>
      </c>
      <c r="BS36" s="111">
        <v>4</v>
      </c>
      <c r="BT36" s="50" t="s">
        <v>286</v>
      </c>
      <c r="BU36" s="50" t="s">
        <v>312</v>
      </c>
      <c r="BV36" s="50" t="s">
        <v>288</v>
      </c>
      <c r="BW36" s="50" t="s">
        <v>293</v>
      </c>
      <c r="BX36" s="50" t="s">
        <v>296</v>
      </c>
      <c r="BY36" s="50" t="s">
        <v>288</v>
      </c>
      <c r="BZ36" s="50" t="s">
        <v>287</v>
      </c>
      <c r="CA36" s="50"/>
      <c r="CB36" s="50" t="s">
        <v>287</v>
      </c>
      <c r="CC36" s="50" t="s">
        <v>287</v>
      </c>
      <c r="CD36" s="50" t="s">
        <v>287</v>
      </c>
      <c r="CE36" s="50"/>
      <c r="CF36" s="50" t="s">
        <v>287</v>
      </c>
      <c r="CG36" s="50" t="s">
        <v>287</v>
      </c>
      <c r="CH36" s="50" t="s">
        <v>486</v>
      </c>
      <c r="CI36" s="50" t="s">
        <v>287</v>
      </c>
      <c r="CJ36" s="50"/>
      <c r="CK36" s="50"/>
      <c r="CL36" s="50"/>
      <c r="CM36" s="50"/>
      <c r="CN36" s="50"/>
      <c r="CO36" s="50"/>
      <c r="CP36" s="50"/>
      <c r="CQ36" s="50"/>
      <c r="CR36" s="50"/>
      <c r="CS36" s="50"/>
    </row>
    <row r="37" spans="1:97" ht="36.75" customHeight="1" thickBot="1">
      <c r="A37" s="49">
        <v>46083.603379629632</v>
      </c>
      <c r="B37" s="50" t="s">
        <v>33</v>
      </c>
      <c r="C37" s="50" t="s">
        <v>45</v>
      </c>
      <c r="D37" s="50" t="s">
        <v>374</v>
      </c>
      <c r="E37" s="50" t="s">
        <v>61</v>
      </c>
      <c r="F37" s="50" t="s">
        <v>286</v>
      </c>
      <c r="G37" s="50" t="s">
        <v>73</v>
      </c>
      <c r="H37" s="50" t="s">
        <v>498</v>
      </c>
      <c r="I37" s="50" t="s">
        <v>91</v>
      </c>
      <c r="J37" s="50" t="s">
        <v>286</v>
      </c>
      <c r="K37" s="50" t="s">
        <v>291</v>
      </c>
      <c r="L37" s="50" t="s">
        <v>286</v>
      </c>
      <c r="M37" s="50" t="s">
        <v>370</v>
      </c>
      <c r="N37" s="111">
        <v>5</v>
      </c>
      <c r="O37" s="111">
        <v>5</v>
      </c>
      <c r="P37" s="111">
        <v>5</v>
      </c>
      <c r="Q37" s="111">
        <v>5</v>
      </c>
      <c r="R37" s="111">
        <v>6</v>
      </c>
      <c r="S37" s="111">
        <v>6</v>
      </c>
      <c r="T37" s="111">
        <v>4</v>
      </c>
      <c r="U37" s="111">
        <v>5</v>
      </c>
      <c r="V37" s="111">
        <v>6</v>
      </c>
      <c r="W37" s="111">
        <v>6</v>
      </c>
      <c r="X37" s="111">
        <v>6</v>
      </c>
      <c r="Y37" s="111">
        <v>6</v>
      </c>
      <c r="Z37" s="111">
        <v>6</v>
      </c>
      <c r="AA37" s="111">
        <v>6</v>
      </c>
      <c r="AB37" s="111">
        <v>6</v>
      </c>
      <c r="AC37" s="111">
        <v>5</v>
      </c>
      <c r="AD37" s="111">
        <v>5</v>
      </c>
      <c r="AE37" s="111">
        <v>5</v>
      </c>
      <c r="AF37" s="111">
        <v>5</v>
      </c>
      <c r="AG37" s="111">
        <v>5</v>
      </c>
      <c r="AH37" s="111">
        <v>5</v>
      </c>
      <c r="AI37" s="111">
        <v>5</v>
      </c>
      <c r="AJ37" s="111">
        <v>5</v>
      </c>
      <c r="AK37" s="111">
        <v>5</v>
      </c>
      <c r="AL37" s="111">
        <v>5</v>
      </c>
      <c r="AM37" s="111">
        <v>5</v>
      </c>
      <c r="AN37" s="111">
        <v>5</v>
      </c>
      <c r="AO37" s="111">
        <v>5</v>
      </c>
      <c r="AP37" s="111">
        <v>5</v>
      </c>
      <c r="AQ37" s="111">
        <v>6</v>
      </c>
      <c r="AR37" s="111">
        <v>5</v>
      </c>
      <c r="AS37" s="111">
        <v>5</v>
      </c>
      <c r="AT37" s="111">
        <v>5</v>
      </c>
      <c r="AU37" s="111">
        <v>5</v>
      </c>
      <c r="AV37" s="50" t="s">
        <v>202</v>
      </c>
      <c r="AW37" s="50" t="s">
        <v>202</v>
      </c>
      <c r="AX37" s="50" t="s">
        <v>201</v>
      </c>
      <c r="AY37" s="50" t="s">
        <v>199</v>
      </c>
      <c r="AZ37" s="50" t="s">
        <v>202</v>
      </c>
      <c r="BA37" s="50" t="s">
        <v>200</v>
      </c>
      <c r="BB37" s="50" t="s">
        <v>202</v>
      </c>
      <c r="BC37" s="50" t="s">
        <v>202</v>
      </c>
      <c r="BD37" s="50" t="s">
        <v>202</v>
      </c>
      <c r="BE37" s="50" t="s">
        <v>202</v>
      </c>
      <c r="BF37" s="50" t="s">
        <v>201</v>
      </c>
      <c r="BG37" s="50" t="s">
        <v>202</v>
      </c>
      <c r="BH37" s="50" t="s">
        <v>200</v>
      </c>
      <c r="BI37" s="50" t="s">
        <v>202</v>
      </c>
      <c r="BJ37" s="50" t="s">
        <v>202</v>
      </c>
      <c r="BK37" s="50" t="s">
        <v>202</v>
      </c>
      <c r="BL37" s="50" t="s">
        <v>202</v>
      </c>
      <c r="BM37" s="50" t="s">
        <v>436</v>
      </c>
      <c r="BN37" s="50" t="s">
        <v>399</v>
      </c>
      <c r="BO37" s="50" t="s">
        <v>91</v>
      </c>
      <c r="BP37" s="50" t="s">
        <v>286</v>
      </c>
      <c r="BQ37" s="50" t="s">
        <v>287</v>
      </c>
      <c r="BR37" s="50" t="s">
        <v>372</v>
      </c>
      <c r="BS37" s="111">
        <v>5</v>
      </c>
      <c r="BT37" s="50" t="s">
        <v>375</v>
      </c>
      <c r="BU37" s="50" t="s">
        <v>348</v>
      </c>
      <c r="BV37" s="50" t="s">
        <v>288</v>
      </c>
      <c r="BW37" s="50" t="s">
        <v>350</v>
      </c>
      <c r="BX37" s="50" t="s">
        <v>387</v>
      </c>
      <c r="BY37" s="50" t="s">
        <v>288</v>
      </c>
      <c r="BZ37" s="50" t="s">
        <v>287</v>
      </c>
      <c r="CA37" s="50"/>
      <c r="CB37" s="50" t="s">
        <v>287</v>
      </c>
      <c r="CC37" s="50" t="s">
        <v>287</v>
      </c>
      <c r="CD37" s="50" t="s">
        <v>287</v>
      </c>
      <c r="CE37" s="50"/>
      <c r="CF37" s="50" t="s">
        <v>287</v>
      </c>
      <c r="CG37" s="50" t="s">
        <v>287</v>
      </c>
      <c r="CH37" s="50" t="s">
        <v>486</v>
      </c>
      <c r="CI37" s="50" t="s">
        <v>287</v>
      </c>
      <c r="CJ37" s="50"/>
      <c r="CK37" s="50"/>
      <c r="CL37" s="50"/>
      <c r="CM37" s="50"/>
      <c r="CN37" s="50"/>
      <c r="CO37" s="50"/>
      <c r="CP37" s="50"/>
      <c r="CQ37" s="50"/>
      <c r="CR37" s="50"/>
      <c r="CS37" s="50"/>
    </row>
    <row r="38" spans="1:97" ht="36.75" customHeight="1" thickBot="1">
      <c r="A38" s="49">
        <v>46083.60597222222</v>
      </c>
      <c r="B38" s="50" t="s">
        <v>40</v>
      </c>
      <c r="C38" s="50" t="s">
        <v>46</v>
      </c>
      <c r="D38" s="50" t="s">
        <v>369</v>
      </c>
      <c r="E38" s="50" t="s">
        <v>61</v>
      </c>
      <c r="F38" s="50" t="s">
        <v>286</v>
      </c>
      <c r="G38" s="50" t="s">
        <v>74</v>
      </c>
      <c r="H38" s="50" t="s">
        <v>306</v>
      </c>
      <c r="I38" s="50" t="s">
        <v>91</v>
      </c>
      <c r="J38" s="50" t="s">
        <v>286</v>
      </c>
      <c r="K38" s="50" t="s">
        <v>291</v>
      </c>
      <c r="L38" s="50" t="s">
        <v>286</v>
      </c>
      <c r="M38" s="50" t="s">
        <v>370</v>
      </c>
      <c r="N38" s="111">
        <v>5</v>
      </c>
      <c r="O38" s="111">
        <v>5</v>
      </c>
      <c r="P38" s="111">
        <v>5</v>
      </c>
      <c r="Q38" s="111">
        <v>6</v>
      </c>
      <c r="R38" s="111">
        <v>6</v>
      </c>
      <c r="S38" s="111">
        <v>6</v>
      </c>
      <c r="T38" s="111">
        <v>4</v>
      </c>
      <c r="U38" s="111">
        <v>5</v>
      </c>
      <c r="V38" s="111">
        <v>6</v>
      </c>
      <c r="W38" s="111">
        <v>6</v>
      </c>
      <c r="X38" s="111">
        <v>6</v>
      </c>
      <c r="Y38" s="111">
        <v>6</v>
      </c>
      <c r="Z38" s="111">
        <v>6</v>
      </c>
      <c r="AA38" s="111">
        <v>6</v>
      </c>
      <c r="AB38" s="111">
        <v>6</v>
      </c>
      <c r="AC38" s="111">
        <v>5</v>
      </c>
      <c r="AD38" s="111">
        <v>5</v>
      </c>
      <c r="AE38" s="111">
        <v>5</v>
      </c>
      <c r="AF38" s="111">
        <v>5</v>
      </c>
      <c r="AG38" s="111">
        <v>5</v>
      </c>
      <c r="AH38" s="111">
        <v>5</v>
      </c>
      <c r="AI38" s="111">
        <v>5</v>
      </c>
      <c r="AJ38" s="111">
        <v>5</v>
      </c>
      <c r="AK38" s="111">
        <v>5</v>
      </c>
      <c r="AL38" s="111">
        <v>5</v>
      </c>
      <c r="AM38" s="111">
        <v>5</v>
      </c>
      <c r="AN38" s="111">
        <v>5</v>
      </c>
      <c r="AO38" s="111">
        <v>5</v>
      </c>
      <c r="AP38" s="111">
        <v>5</v>
      </c>
      <c r="AQ38" s="111">
        <v>6</v>
      </c>
      <c r="AR38" s="111">
        <v>5</v>
      </c>
      <c r="AS38" s="111">
        <v>5</v>
      </c>
      <c r="AT38" s="111">
        <v>5</v>
      </c>
      <c r="AU38" s="111">
        <v>5</v>
      </c>
      <c r="AV38" s="50" t="s">
        <v>202</v>
      </c>
      <c r="AW38" s="50" t="s">
        <v>202</v>
      </c>
      <c r="AX38" s="50" t="s">
        <v>201</v>
      </c>
      <c r="AY38" s="50" t="s">
        <v>199</v>
      </c>
      <c r="AZ38" s="50" t="s">
        <v>202</v>
      </c>
      <c r="BA38" s="50" t="s">
        <v>202</v>
      </c>
      <c r="BB38" s="50" t="s">
        <v>202</v>
      </c>
      <c r="BC38" s="50" t="s">
        <v>202</v>
      </c>
      <c r="BD38" s="50" t="s">
        <v>202</v>
      </c>
      <c r="BE38" s="50" t="s">
        <v>199</v>
      </c>
      <c r="BF38" s="50" t="s">
        <v>201</v>
      </c>
      <c r="BG38" s="50" t="s">
        <v>202</v>
      </c>
      <c r="BH38" s="50" t="s">
        <v>201</v>
      </c>
      <c r="BI38" s="50" t="s">
        <v>202</v>
      </c>
      <c r="BJ38" s="50" t="s">
        <v>202</v>
      </c>
      <c r="BK38" s="50" t="s">
        <v>202</v>
      </c>
      <c r="BL38" s="50" t="s">
        <v>202</v>
      </c>
      <c r="BM38" s="50" t="s">
        <v>436</v>
      </c>
      <c r="BN38" s="50" t="s">
        <v>318</v>
      </c>
      <c r="BO38" s="50" t="s">
        <v>91</v>
      </c>
      <c r="BP38" s="50" t="s">
        <v>286</v>
      </c>
      <c r="BQ38" s="50" t="s">
        <v>287</v>
      </c>
      <c r="BR38" s="50" t="s">
        <v>372</v>
      </c>
      <c r="BS38" s="111">
        <v>5</v>
      </c>
      <c r="BT38" s="50" t="s">
        <v>286</v>
      </c>
      <c r="BU38" s="50" t="s">
        <v>348</v>
      </c>
      <c r="BV38" s="50" t="s">
        <v>288</v>
      </c>
      <c r="BW38" s="50" t="s">
        <v>350</v>
      </c>
      <c r="BX38" s="50" t="s">
        <v>387</v>
      </c>
      <c r="BY38" s="50" t="s">
        <v>288</v>
      </c>
      <c r="BZ38" s="50" t="s">
        <v>287</v>
      </c>
      <c r="CA38" s="50"/>
      <c r="CB38" s="50" t="s">
        <v>287</v>
      </c>
      <c r="CC38" s="50" t="s">
        <v>287</v>
      </c>
      <c r="CD38" s="50" t="s">
        <v>287</v>
      </c>
      <c r="CE38" s="50"/>
      <c r="CF38" s="50" t="s">
        <v>287</v>
      </c>
      <c r="CG38" s="50" t="s">
        <v>287</v>
      </c>
      <c r="CH38" s="50" t="s">
        <v>486</v>
      </c>
      <c r="CI38" s="50" t="s">
        <v>287</v>
      </c>
      <c r="CJ38" s="50"/>
      <c r="CK38" s="50"/>
      <c r="CL38" s="50"/>
      <c r="CM38" s="50"/>
      <c r="CN38" s="50"/>
      <c r="CO38" s="50"/>
      <c r="CP38" s="50"/>
      <c r="CQ38" s="50"/>
      <c r="CR38" s="50"/>
      <c r="CS38" s="50"/>
    </row>
    <row r="39" spans="1:97" ht="36.75" customHeight="1" thickBot="1">
      <c r="A39" s="49">
        <v>46084.240555555552</v>
      </c>
      <c r="B39" s="50" t="s">
        <v>33</v>
      </c>
      <c r="C39" s="50" t="s">
        <v>45</v>
      </c>
      <c r="D39" s="50" t="s">
        <v>369</v>
      </c>
      <c r="E39" s="50" t="s">
        <v>285</v>
      </c>
      <c r="F39" s="50" t="s">
        <v>286</v>
      </c>
      <c r="G39" s="50" t="s">
        <v>73</v>
      </c>
      <c r="H39" s="50" t="s">
        <v>298</v>
      </c>
      <c r="I39" s="50" t="s">
        <v>295</v>
      </c>
      <c r="J39" s="50" t="s">
        <v>286</v>
      </c>
      <c r="K39" s="50" t="s">
        <v>287</v>
      </c>
      <c r="L39" s="50" t="s">
        <v>336</v>
      </c>
      <c r="M39" s="50" t="s">
        <v>311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5</v>
      </c>
      <c r="AH39" s="111">
        <v>5</v>
      </c>
      <c r="AI39" s="111">
        <v>5</v>
      </c>
      <c r="AJ39" s="111">
        <v>5</v>
      </c>
      <c r="AK39" s="111">
        <v>5</v>
      </c>
      <c r="AL39" s="111">
        <v>5</v>
      </c>
      <c r="AM39" s="111">
        <v>5</v>
      </c>
      <c r="AN39" s="111">
        <v>5</v>
      </c>
      <c r="AO39" s="111">
        <v>5</v>
      </c>
      <c r="AP39" s="111">
        <v>5</v>
      </c>
      <c r="AQ39" s="111">
        <v>5</v>
      </c>
      <c r="AR39" s="111">
        <v>5</v>
      </c>
      <c r="AS39" s="111">
        <v>5</v>
      </c>
      <c r="AT39" s="111">
        <v>5</v>
      </c>
      <c r="AU39" s="111">
        <v>5</v>
      </c>
      <c r="AV39" s="50" t="s">
        <v>199</v>
      </c>
      <c r="AW39" s="50" t="s">
        <v>199</v>
      </c>
      <c r="AX39" s="50" t="s">
        <v>199</v>
      </c>
      <c r="AY39" s="50" t="s">
        <v>200</v>
      </c>
      <c r="AZ39" s="50" t="s">
        <v>200</v>
      </c>
      <c r="BA39" s="50" t="s">
        <v>200</v>
      </c>
      <c r="BB39" s="50" t="s">
        <v>200</v>
      </c>
      <c r="BC39" s="50" t="s">
        <v>200</v>
      </c>
      <c r="BD39" s="50" t="s">
        <v>200</v>
      </c>
      <c r="BE39" s="50" t="s">
        <v>200</v>
      </c>
      <c r="BF39" s="50" t="s">
        <v>200</v>
      </c>
      <c r="BG39" s="50" t="s">
        <v>200</v>
      </c>
      <c r="BH39" s="50" t="s">
        <v>200</v>
      </c>
      <c r="BI39" s="50" t="s">
        <v>200</v>
      </c>
      <c r="BJ39" s="50" t="s">
        <v>200</v>
      </c>
      <c r="BK39" s="50" t="s">
        <v>200</v>
      </c>
      <c r="BL39" s="50" t="s">
        <v>200</v>
      </c>
      <c r="BM39" s="50" t="s">
        <v>436</v>
      </c>
      <c r="BN39" s="50" t="s">
        <v>318</v>
      </c>
      <c r="BO39" s="50" t="s">
        <v>91</v>
      </c>
      <c r="BP39" s="50" t="s">
        <v>286</v>
      </c>
      <c r="BQ39" s="50" t="s">
        <v>287</v>
      </c>
      <c r="BR39" s="50" t="s">
        <v>404</v>
      </c>
      <c r="BS39" s="111">
        <v>5</v>
      </c>
      <c r="BT39" s="50" t="s">
        <v>286</v>
      </c>
      <c r="BU39" s="50" t="s">
        <v>312</v>
      </c>
      <c r="BV39" s="50" t="s">
        <v>288</v>
      </c>
      <c r="BW39" s="50" t="s">
        <v>303</v>
      </c>
      <c r="BX39" s="50" t="s">
        <v>294</v>
      </c>
      <c r="BY39" s="50" t="s">
        <v>288</v>
      </c>
      <c r="BZ39" s="50" t="s">
        <v>287</v>
      </c>
      <c r="CA39" s="50"/>
      <c r="CB39" s="50" t="s">
        <v>287</v>
      </c>
      <c r="CC39" s="50" t="s">
        <v>287</v>
      </c>
      <c r="CD39" s="50" t="s">
        <v>287</v>
      </c>
      <c r="CE39" s="50"/>
      <c r="CF39" s="50" t="s">
        <v>287</v>
      </c>
      <c r="CG39" s="50" t="s">
        <v>287</v>
      </c>
      <c r="CH39" s="50" t="s">
        <v>486</v>
      </c>
      <c r="CI39" s="50" t="s">
        <v>287</v>
      </c>
      <c r="CJ39" s="50"/>
      <c r="CK39" s="50"/>
      <c r="CL39" s="50"/>
      <c r="CM39" s="50"/>
      <c r="CN39" s="50"/>
      <c r="CO39" s="50"/>
      <c r="CP39" s="50"/>
      <c r="CQ39" s="50"/>
      <c r="CR39" s="50"/>
      <c r="CS39" s="50"/>
    </row>
    <row r="40" spans="1:97" ht="36.75" customHeight="1" thickBot="1">
      <c r="A40" s="49">
        <v>46084.243402777778</v>
      </c>
      <c r="B40" s="50" t="s">
        <v>33</v>
      </c>
      <c r="C40" s="50" t="s">
        <v>45</v>
      </c>
      <c r="D40" s="50" t="s">
        <v>369</v>
      </c>
      <c r="E40" s="50" t="s">
        <v>285</v>
      </c>
      <c r="F40" s="50" t="s">
        <v>286</v>
      </c>
      <c r="G40" s="50" t="s">
        <v>292</v>
      </c>
      <c r="H40" s="50" t="s">
        <v>339</v>
      </c>
      <c r="I40" s="50" t="s">
        <v>295</v>
      </c>
      <c r="J40" s="50" t="s">
        <v>286</v>
      </c>
      <c r="K40" s="50" t="s">
        <v>287</v>
      </c>
      <c r="L40" s="50" t="s">
        <v>336</v>
      </c>
      <c r="M40" s="50" t="s">
        <v>311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5</v>
      </c>
      <c r="AH40" s="111">
        <v>5</v>
      </c>
      <c r="AI40" s="111">
        <v>5</v>
      </c>
      <c r="AJ40" s="111">
        <v>5</v>
      </c>
      <c r="AK40" s="111">
        <v>5</v>
      </c>
      <c r="AL40" s="111">
        <v>5</v>
      </c>
      <c r="AM40" s="111">
        <v>5</v>
      </c>
      <c r="AN40" s="111">
        <v>5</v>
      </c>
      <c r="AO40" s="111">
        <v>5</v>
      </c>
      <c r="AP40" s="111">
        <v>5</v>
      </c>
      <c r="AQ40" s="111">
        <v>5</v>
      </c>
      <c r="AR40" s="111">
        <v>5</v>
      </c>
      <c r="AS40" s="111">
        <v>5</v>
      </c>
      <c r="AT40" s="111">
        <v>5</v>
      </c>
      <c r="AU40" s="111">
        <v>5</v>
      </c>
      <c r="AV40" s="50" t="s">
        <v>199</v>
      </c>
      <c r="AW40" s="50" t="s">
        <v>199</v>
      </c>
      <c r="AX40" s="50" t="s">
        <v>199</v>
      </c>
      <c r="AY40" s="50" t="s">
        <v>200</v>
      </c>
      <c r="AZ40" s="50" t="s">
        <v>200</v>
      </c>
      <c r="BA40" s="50" t="s">
        <v>200</v>
      </c>
      <c r="BB40" s="50" t="s">
        <v>200</v>
      </c>
      <c r="BC40" s="50" t="s">
        <v>200</v>
      </c>
      <c r="BD40" s="50" t="s">
        <v>200</v>
      </c>
      <c r="BE40" s="50" t="s">
        <v>200</v>
      </c>
      <c r="BF40" s="50" t="s">
        <v>200</v>
      </c>
      <c r="BG40" s="50" t="s">
        <v>200</v>
      </c>
      <c r="BH40" s="50" t="s">
        <v>200</v>
      </c>
      <c r="BI40" s="50" t="s">
        <v>200</v>
      </c>
      <c r="BJ40" s="50" t="s">
        <v>200</v>
      </c>
      <c r="BK40" s="50" t="s">
        <v>200</v>
      </c>
      <c r="BL40" s="50" t="s">
        <v>200</v>
      </c>
      <c r="BM40" s="50" t="s">
        <v>436</v>
      </c>
      <c r="BN40" s="50" t="s">
        <v>318</v>
      </c>
      <c r="BO40" s="50" t="s">
        <v>91</v>
      </c>
      <c r="BP40" s="50" t="s">
        <v>286</v>
      </c>
      <c r="BQ40" s="50" t="s">
        <v>287</v>
      </c>
      <c r="BR40" s="50" t="s">
        <v>403</v>
      </c>
      <c r="BS40" s="111">
        <v>5</v>
      </c>
      <c r="BT40" s="50" t="s">
        <v>286</v>
      </c>
      <c r="BU40" s="50" t="s">
        <v>312</v>
      </c>
      <c r="BV40" s="50" t="s">
        <v>288</v>
      </c>
      <c r="BW40" s="50" t="s">
        <v>303</v>
      </c>
      <c r="BX40" s="50" t="s">
        <v>296</v>
      </c>
      <c r="BY40" s="50" t="s">
        <v>288</v>
      </c>
      <c r="BZ40" s="50" t="s">
        <v>287</v>
      </c>
      <c r="CA40" s="50"/>
      <c r="CB40" s="50" t="s">
        <v>287</v>
      </c>
      <c r="CC40" s="50" t="s">
        <v>287</v>
      </c>
      <c r="CD40" s="50" t="s">
        <v>287</v>
      </c>
      <c r="CE40" s="50"/>
      <c r="CF40" s="50" t="s">
        <v>287</v>
      </c>
      <c r="CG40" s="50" t="s">
        <v>287</v>
      </c>
      <c r="CH40" s="50" t="s">
        <v>486</v>
      </c>
      <c r="CI40" s="50" t="s">
        <v>287</v>
      </c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ht="36.75" customHeight="1" thickBot="1">
      <c r="A41" s="49">
        <v>46084.246400462966</v>
      </c>
      <c r="B41" s="50" t="s">
        <v>40</v>
      </c>
      <c r="C41" s="50" t="s">
        <v>45</v>
      </c>
      <c r="D41" s="50" t="s">
        <v>374</v>
      </c>
      <c r="E41" s="50" t="s">
        <v>61</v>
      </c>
      <c r="F41" s="50" t="s">
        <v>286</v>
      </c>
      <c r="G41" s="50" t="s">
        <v>292</v>
      </c>
      <c r="H41" s="50" t="s">
        <v>367</v>
      </c>
      <c r="I41" s="50" t="s">
        <v>81</v>
      </c>
      <c r="J41" s="50" t="s">
        <v>286</v>
      </c>
      <c r="K41" s="50" t="s">
        <v>287</v>
      </c>
      <c r="L41" s="50" t="s">
        <v>315</v>
      </c>
      <c r="M41" s="50" t="s">
        <v>311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5</v>
      </c>
      <c r="AH41" s="111">
        <v>5</v>
      </c>
      <c r="AI41" s="111">
        <v>5</v>
      </c>
      <c r="AJ41" s="111">
        <v>5</v>
      </c>
      <c r="AK41" s="111">
        <v>5</v>
      </c>
      <c r="AL41" s="111">
        <v>5</v>
      </c>
      <c r="AM41" s="111">
        <v>5</v>
      </c>
      <c r="AN41" s="111">
        <v>5</v>
      </c>
      <c r="AO41" s="111">
        <v>5</v>
      </c>
      <c r="AP41" s="111">
        <v>5</v>
      </c>
      <c r="AQ41" s="111">
        <v>5</v>
      </c>
      <c r="AR41" s="111">
        <v>5</v>
      </c>
      <c r="AS41" s="111">
        <v>5</v>
      </c>
      <c r="AT41" s="111">
        <v>5</v>
      </c>
      <c r="AU41" s="111">
        <v>5</v>
      </c>
      <c r="AV41" s="50" t="s">
        <v>199</v>
      </c>
      <c r="AW41" s="50" t="s">
        <v>199</v>
      </c>
      <c r="AX41" s="50" t="s">
        <v>199</v>
      </c>
      <c r="AY41" s="50" t="s">
        <v>200</v>
      </c>
      <c r="AZ41" s="50" t="s">
        <v>200</v>
      </c>
      <c r="BA41" s="50" t="s">
        <v>200</v>
      </c>
      <c r="BB41" s="50" t="s">
        <v>200</v>
      </c>
      <c r="BC41" s="50" t="s">
        <v>200</v>
      </c>
      <c r="BD41" s="50" t="s">
        <v>200</v>
      </c>
      <c r="BE41" s="50" t="s">
        <v>200</v>
      </c>
      <c r="BF41" s="50" t="s">
        <v>200</v>
      </c>
      <c r="BG41" s="50" t="s">
        <v>200</v>
      </c>
      <c r="BH41" s="50" t="s">
        <v>200</v>
      </c>
      <c r="BI41" s="50" t="s">
        <v>200</v>
      </c>
      <c r="BJ41" s="50" t="s">
        <v>200</v>
      </c>
      <c r="BK41" s="50" t="s">
        <v>200</v>
      </c>
      <c r="BL41" s="50" t="s">
        <v>200</v>
      </c>
      <c r="BM41" s="50" t="s">
        <v>436</v>
      </c>
      <c r="BN41" s="50" t="s">
        <v>318</v>
      </c>
      <c r="BO41" s="50" t="s">
        <v>91</v>
      </c>
      <c r="BP41" s="50" t="s">
        <v>286</v>
      </c>
      <c r="BQ41" s="50" t="s">
        <v>287</v>
      </c>
      <c r="BR41" s="50" t="s">
        <v>403</v>
      </c>
      <c r="BS41" s="111">
        <v>5</v>
      </c>
      <c r="BT41" s="50" t="s">
        <v>286</v>
      </c>
      <c r="BU41" s="50" t="s">
        <v>312</v>
      </c>
      <c r="BV41" s="50" t="s">
        <v>288</v>
      </c>
      <c r="BW41" s="50" t="s">
        <v>293</v>
      </c>
      <c r="BX41" s="50" t="s">
        <v>296</v>
      </c>
      <c r="BY41" s="50" t="s">
        <v>288</v>
      </c>
      <c r="BZ41" s="50" t="s">
        <v>287</v>
      </c>
      <c r="CA41" s="50"/>
      <c r="CB41" s="50" t="s">
        <v>287</v>
      </c>
      <c r="CC41" s="50" t="s">
        <v>287</v>
      </c>
      <c r="CD41" s="50" t="s">
        <v>287</v>
      </c>
      <c r="CE41" s="50"/>
      <c r="CF41" s="50" t="s">
        <v>287</v>
      </c>
      <c r="CG41" s="50" t="s">
        <v>287</v>
      </c>
      <c r="CH41" s="50" t="s">
        <v>486</v>
      </c>
      <c r="CI41" s="50" t="s">
        <v>287</v>
      </c>
      <c r="CJ41" s="50"/>
      <c r="CK41" s="50"/>
      <c r="CL41" s="50"/>
      <c r="CM41" s="50"/>
      <c r="CN41" s="50"/>
      <c r="CO41" s="50"/>
      <c r="CP41" s="50"/>
      <c r="CQ41" s="50"/>
      <c r="CR41" s="50"/>
      <c r="CS41" s="50"/>
    </row>
    <row r="42" spans="1:97" ht="36.75" customHeight="1" thickBot="1">
      <c r="A42" s="49">
        <v>46084.249641203707</v>
      </c>
      <c r="B42" s="50" t="s">
        <v>40</v>
      </c>
      <c r="C42" s="50" t="s">
        <v>45</v>
      </c>
      <c r="D42" s="50" t="s">
        <v>369</v>
      </c>
      <c r="E42" s="50" t="s">
        <v>61</v>
      </c>
      <c r="F42" s="50" t="s">
        <v>286</v>
      </c>
      <c r="G42" s="50" t="s">
        <v>73</v>
      </c>
      <c r="H42" s="50" t="s">
        <v>326</v>
      </c>
      <c r="I42" s="50" t="s">
        <v>81</v>
      </c>
      <c r="J42" s="50" t="s">
        <v>286</v>
      </c>
      <c r="K42" s="50" t="s">
        <v>287</v>
      </c>
      <c r="L42" s="50" t="s">
        <v>315</v>
      </c>
      <c r="M42" s="50" t="s">
        <v>311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5</v>
      </c>
      <c r="AH42" s="111">
        <v>5</v>
      </c>
      <c r="AI42" s="111">
        <v>5</v>
      </c>
      <c r="AJ42" s="111">
        <v>5</v>
      </c>
      <c r="AK42" s="111">
        <v>5</v>
      </c>
      <c r="AL42" s="111">
        <v>5</v>
      </c>
      <c r="AM42" s="111">
        <v>5</v>
      </c>
      <c r="AN42" s="111">
        <v>5</v>
      </c>
      <c r="AO42" s="111">
        <v>5</v>
      </c>
      <c r="AP42" s="111">
        <v>5</v>
      </c>
      <c r="AQ42" s="111">
        <v>5</v>
      </c>
      <c r="AR42" s="111">
        <v>5</v>
      </c>
      <c r="AS42" s="111">
        <v>5</v>
      </c>
      <c r="AT42" s="111">
        <v>5</v>
      </c>
      <c r="AU42" s="111">
        <v>5</v>
      </c>
      <c r="AV42" s="50" t="s">
        <v>199</v>
      </c>
      <c r="AW42" s="50" t="s">
        <v>199</v>
      </c>
      <c r="AX42" s="50" t="s">
        <v>199</v>
      </c>
      <c r="AY42" s="50" t="s">
        <v>200</v>
      </c>
      <c r="AZ42" s="50" t="s">
        <v>200</v>
      </c>
      <c r="BA42" s="50" t="s">
        <v>200</v>
      </c>
      <c r="BB42" s="50" t="s">
        <v>200</v>
      </c>
      <c r="BC42" s="50" t="s">
        <v>200</v>
      </c>
      <c r="BD42" s="50" t="s">
        <v>200</v>
      </c>
      <c r="BE42" s="50" t="s">
        <v>200</v>
      </c>
      <c r="BF42" s="50" t="s">
        <v>200</v>
      </c>
      <c r="BG42" s="50" t="s">
        <v>200</v>
      </c>
      <c r="BH42" s="50" t="s">
        <v>200</v>
      </c>
      <c r="BI42" s="50" t="s">
        <v>200</v>
      </c>
      <c r="BJ42" s="50" t="s">
        <v>200</v>
      </c>
      <c r="BK42" s="50" t="s">
        <v>200</v>
      </c>
      <c r="BL42" s="50" t="s">
        <v>200</v>
      </c>
      <c r="BM42" s="50" t="s">
        <v>436</v>
      </c>
      <c r="BN42" s="50" t="s">
        <v>318</v>
      </c>
      <c r="BO42" s="50" t="s">
        <v>91</v>
      </c>
      <c r="BP42" s="50" t="s">
        <v>286</v>
      </c>
      <c r="BQ42" s="50" t="s">
        <v>287</v>
      </c>
      <c r="BR42" s="50" t="s">
        <v>373</v>
      </c>
      <c r="BS42" s="111">
        <v>5</v>
      </c>
      <c r="BT42" s="50" t="s">
        <v>286</v>
      </c>
      <c r="BU42" s="50" t="s">
        <v>312</v>
      </c>
      <c r="BV42" s="50" t="s">
        <v>288</v>
      </c>
      <c r="BW42" s="50" t="s">
        <v>289</v>
      </c>
      <c r="BX42" s="50" t="s">
        <v>296</v>
      </c>
      <c r="BY42" s="50" t="s">
        <v>288</v>
      </c>
      <c r="BZ42" s="50" t="s">
        <v>287</v>
      </c>
      <c r="CA42" s="50"/>
      <c r="CB42" s="50" t="s">
        <v>287</v>
      </c>
      <c r="CC42" s="50" t="s">
        <v>287</v>
      </c>
      <c r="CD42" s="50" t="s">
        <v>287</v>
      </c>
      <c r="CE42" s="50"/>
      <c r="CF42" s="50" t="s">
        <v>287</v>
      </c>
      <c r="CG42" s="50" t="s">
        <v>287</v>
      </c>
      <c r="CH42" s="50" t="s">
        <v>486</v>
      </c>
      <c r="CI42" s="50" t="s">
        <v>287</v>
      </c>
      <c r="CJ42" s="50"/>
      <c r="CK42" s="50"/>
      <c r="CL42" s="50"/>
      <c r="CM42" s="50"/>
      <c r="CN42" s="50"/>
      <c r="CO42" s="50"/>
      <c r="CP42" s="50"/>
      <c r="CQ42" s="50"/>
      <c r="CR42" s="50"/>
      <c r="CS42" s="50"/>
    </row>
    <row r="43" spans="1:97" ht="36.75" customHeight="1" thickBot="1">
      <c r="A43" s="49">
        <v>46084.259664351855</v>
      </c>
      <c r="B43" s="50" t="s">
        <v>40</v>
      </c>
      <c r="C43" s="50" t="s">
        <v>46</v>
      </c>
      <c r="D43" s="50" t="s">
        <v>369</v>
      </c>
      <c r="E43" s="50" t="s">
        <v>61</v>
      </c>
      <c r="F43" s="50"/>
      <c r="G43" s="50" t="s">
        <v>73</v>
      </c>
      <c r="H43" s="50" t="s">
        <v>326</v>
      </c>
      <c r="I43" s="50" t="s">
        <v>81</v>
      </c>
      <c r="J43" s="50" t="s">
        <v>286</v>
      </c>
      <c r="K43" s="50" t="s">
        <v>287</v>
      </c>
      <c r="L43" s="50" t="s">
        <v>424</v>
      </c>
      <c r="M43" s="50" t="s">
        <v>311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5</v>
      </c>
      <c r="AL43" s="111">
        <v>5</v>
      </c>
      <c r="AM43" s="111">
        <v>5</v>
      </c>
      <c r="AN43" s="111">
        <v>5</v>
      </c>
      <c r="AO43" s="111">
        <v>5</v>
      </c>
      <c r="AP43" s="111">
        <v>5</v>
      </c>
      <c r="AQ43" s="111">
        <v>5</v>
      </c>
      <c r="AR43" s="111">
        <v>5</v>
      </c>
      <c r="AS43" s="111">
        <v>5</v>
      </c>
      <c r="AT43" s="111">
        <v>5</v>
      </c>
      <c r="AU43" s="111">
        <v>5</v>
      </c>
      <c r="AV43" s="50" t="s">
        <v>199</v>
      </c>
      <c r="AW43" s="50" t="s">
        <v>199</v>
      </c>
      <c r="AX43" s="50" t="s">
        <v>199</v>
      </c>
      <c r="AY43" s="50" t="s">
        <v>200</v>
      </c>
      <c r="AZ43" s="50" t="s">
        <v>200</v>
      </c>
      <c r="BA43" s="50" t="s">
        <v>200</v>
      </c>
      <c r="BB43" s="50" t="s">
        <v>200</v>
      </c>
      <c r="BC43" s="50" t="s">
        <v>200</v>
      </c>
      <c r="BD43" s="50" t="s">
        <v>200</v>
      </c>
      <c r="BE43" s="50" t="s">
        <v>200</v>
      </c>
      <c r="BF43" s="50" t="s">
        <v>200</v>
      </c>
      <c r="BG43" s="50" t="s">
        <v>200</v>
      </c>
      <c r="BH43" s="50" t="s">
        <v>200</v>
      </c>
      <c r="BI43" s="50" t="s">
        <v>200</v>
      </c>
      <c r="BJ43" s="50" t="s">
        <v>200</v>
      </c>
      <c r="BK43" s="50" t="s">
        <v>200</v>
      </c>
      <c r="BL43" s="50" t="s">
        <v>200</v>
      </c>
      <c r="BM43" s="50" t="s">
        <v>616</v>
      </c>
      <c r="BN43" s="50" t="s">
        <v>318</v>
      </c>
      <c r="BO43" s="50" t="s">
        <v>91</v>
      </c>
      <c r="BP43" s="50" t="s">
        <v>286</v>
      </c>
      <c r="BQ43" s="50" t="s">
        <v>287</v>
      </c>
      <c r="BR43" s="50" t="s">
        <v>382</v>
      </c>
      <c r="BS43" s="111">
        <v>5</v>
      </c>
      <c r="BT43" s="50" t="s">
        <v>286</v>
      </c>
      <c r="BU43" s="50" t="s">
        <v>312</v>
      </c>
      <c r="BV43" s="50" t="s">
        <v>288</v>
      </c>
      <c r="BW43" s="50" t="s">
        <v>303</v>
      </c>
      <c r="BX43" s="50" t="s">
        <v>296</v>
      </c>
      <c r="BY43" s="50" t="s">
        <v>288</v>
      </c>
      <c r="BZ43" s="50" t="s">
        <v>287</v>
      </c>
      <c r="CA43" s="50"/>
      <c r="CB43" s="50" t="s">
        <v>287</v>
      </c>
      <c r="CC43" s="50" t="s">
        <v>287</v>
      </c>
      <c r="CD43" s="50" t="s">
        <v>287</v>
      </c>
      <c r="CE43" s="50"/>
      <c r="CF43" s="50" t="s">
        <v>287</v>
      </c>
      <c r="CG43" s="50" t="s">
        <v>287</v>
      </c>
      <c r="CH43" s="50" t="s">
        <v>486</v>
      </c>
      <c r="CI43" s="50" t="s">
        <v>287</v>
      </c>
      <c r="CJ43" s="50"/>
      <c r="CK43" s="50"/>
      <c r="CL43" s="50"/>
      <c r="CM43" s="50"/>
      <c r="CN43" s="50"/>
      <c r="CO43" s="50"/>
      <c r="CP43" s="50"/>
      <c r="CQ43" s="50"/>
      <c r="CR43" s="50"/>
      <c r="CS43" s="50"/>
    </row>
    <row r="44" spans="1:97" ht="36.75" customHeight="1" thickBot="1">
      <c r="A44" s="49">
        <v>46084.266805555555</v>
      </c>
      <c r="B44" s="50" t="s">
        <v>40</v>
      </c>
      <c r="C44" s="50" t="s">
        <v>46</v>
      </c>
      <c r="D44" s="50" t="s">
        <v>374</v>
      </c>
      <c r="E44" s="50" t="s">
        <v>61</v>
      </c>
      <c r="F44" s="50" t="s">
        <v>286</v>
      </c>
      <c r="G44" s="50" t="s">
        <v>73</v>
      </c>
      <c r="H44" s="50" t="s">
        <v>286</v>
      </c>
      <c r="I44" s="50" t="s">
        <v>81</v>
      </c>
      <c r="J44" s="50" t="s">
        <v>286</v>
      </c>
      <c r="K44" s="50" t="s">
        <v>291</v>
      </c>
      <c r="L44" s="50" t="s">
        <v>336</v>
      </c>
      <c r="M44" s="50" t="s">
        <v>311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5</v>
      </c>
      <c r="AL44" s="111">
        <v>5</v>
      </c>
      <c r="AM44" s="111">
        <v>5</v>
      </c>
      <c r="AN44" s="111">
        <v>5</v>
      </c>
      <c r="AO44" s="111">
        <v>5</v>
      </c>
      <c r="AP44" s="111">
        <v>5</v>
      </c>
      <c r="AQ44" s="111">
        <v>5</v>
      </c>
      <c r="AR44" s="111">
        <v>5</v>
      </c>
      <c r="AS44" s="111">
        <v>5</v>
      </c>
      <c r="AT44" s="111">
        <v>5</v>
      </c>
      <c r="AU44" s="111">
        <v>5</v>
      </c>
      <c r="AV44" s="50" t="s">
        <v>199</v>
      </c>
      <c r="AW44" s="50" t="s">
        <v>199</v>
      </c>
      <c r="AX44" s="50" t="s">
        <v>199</v>
      </c>
      <c r="AY44" s="50" t="s">
        <v>200</v>
      </c>
      <c r="AZ44" s="50" t="s">
        <v>200</v>
      </c>
      <c r="BA44" s="50" t="s">
        <v>200</v>
      </c>
      <c r="BB44" s="50" t="s">
        <v>200</v>
      </c>
      <c r="BC44" s="50" t="s">
        <v>200</v>
      </c>
      <c r="BD44" s="50" t="s">
        <v>200</v>
      </c>
      <c r="BE44" s="50" t="s">
        <v>200</v>
      </c>
      <c r="BF44" s="50" t="s">
        <v>200</v>
      </c>
      <c r="BG44" s="50" t="s">
        <v>200</v>
      </c>
      <c r="BH44" s="50" t="s">
        <v>200</v>
      </c>
      <c r="BI44" s="50" t="s">
        <v>200</v>
      </c>
      <c r="BJ44" s="50" t="s">
        <v>200</v>
      </c>
      <c r="BK44" s="50" t="s">
        <v>200</v>
      </c>
      <c r="BL44" s="50" t="s">
        <v>200</v>
      </c>
      <c r="BM44" s="50" t="s">
        <v>436</v>
      </c>
      <c r="BN44" s="50" t="s">
        <v>318</v>
      </c>
      <c r="BO44" s="50" t="s">
        <v>91</v>
      </c>
      <c r="BP44" s="50" t="s">
        <v>286</v>
      </c>
      <c r="BQ44" s="50" t="s">
        <v>287</v>
      </c>
      <c r="BR44" s="50" t="s">
        <v>403</v>
      </c>
      <c r="BS44" s="111">
        <v>5</v>
      </c>
      <c r="BT44" s="50" t="s">
        <v>286</v>
      </c>
      <c r="BU44" s="50" t="s">
        <v>312</v>
      </c>
      <c r="BV44" s="50" t="s">
        <v>288</v>
      </c>
      <c r="BW44" s="50" t="s">
        <v>297</v>
      </c>
      <c r="BX44" s="50" t="s">
        <v>296</v>
      </c>
      <c r="BY44" s="50" t="s">
        <v>288</v>
      </c>
      <c r="BZ44" s="50" t="s">
        <v>287</v>
      </c>
      <c r="CA44" s="50"/>
      <c r="CB44" s="50" t="s">
        <v>287</v>
      </c>
      <c r="CC44" s="50" t="s">
        <v>287</v>
      </c>
      <c r="CD44" s="50" t="s">
        <v>287</v>
      </c>
      <c r="CE44" s="50"/>
      <c r="CF44" s="50" t="s">
        <v>287</v>
      </c>
      <c r="CG44" s="50" t="s">
        <v>287</v>
      </c>
      <c r="CH44" s="50" t="s">
        <v>486</v>
      </c>
      <c r="CI44" s="50" t="s">
        <v>287</v>
      </c>
      <c r="CJ44" s="50"/>
      <c r="CK44" s="50"/>
      <c r="CL44" s="50"/>
      <c r="CM44" s="50"/>
      <c r="CN44" s="50"/>
      <c r="CO44" s="50"/>
      <c r="CP44" s="50"/>
      <c r="CQ44" s="50"/>
      <c r="CR44" s="50"/>
      <c r="CS44" s="50"/>
    </row>
    <row r="45" spans="1:97" ht="36.75" customHeight="1" thickBot="1">
      <c r="A45" s="49">
        <v>46084.322141203702</v>
      </c>
      <c r="B45" s="50" t="s">
        <v>40</v>
      </c>
      <c r="C45" s="50" t="s">
        <v>45</v>
      </c>
      <c r="D45" s="50" t="s">
        <v>369</v>
      </c>
      <c r="E45" s="50" t="s">
        <v>285</v>
      </c>
      <c r="F45" s="50" t="s">
        <v>286</v>
      </c>
      <c r="G45" s="50" t="s">
        <v>73</v>
      </c>
      <c r="H45" s="50" t="s">
        <v>397</v>
      </c>
      <c r="I45" s="50" t="s">
        <v>91</v>
      </c>
      <c r="J45" s="50" t="s">
        <v>286</v>
      </c>
      <c r="K45" s="50" t="s">
        <v>291</v>
      </c>
      <c r="L45" s="50" t="s">
        <v>286</v>
      </c>
      <c r="M45" s="50" t="s">
        <v>334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6</v>
      </c>
      <c r="T45" s="111">
        <v>4</v>
      </c>
      <c r="U45" s="111">
        <v>5</v>
      </c>
      <c r="V45" s="111">
        <v>6</v>
      </c>
      <c r="W45" s="111">
        <v>6</v>
      </c>
      <c r="X45" s="111">
        <v>5</v>
      </c>
      <c r="Y45" s="111">
        <v>5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5</v>
      </c>
      <c r="AH45" s="111">
        <v>5</v>
      </c>
      <c r="AI45" s="111">
        <v>5</v>
      </c>
      <c r="AJ45" s="111">
        <v>5</v>
      </c>
      <c r="AK45" s="111">
        <v>5</v>
      </c>
      <c r="AL45" s="111">
        <v>5</v>
      </c>
      <c r="AM45" s="111">
        <v>5</v>
      </c>
      <c r="AN45" s="111">
        <v>5</v>
      </c>
      <c r="AO45" s="111">
        <v>5</v>
      </c>
      <c r="AP45" s="111">
        <v>5</v>
      </c>
      <c r="AQ45" s="111">
        <v>6</v>
      </c>
      <c r="AR45" s="111">
        <v>5</v>
      </c>
      <c r="AS45" s="111">
        <v>5</v>
      </c>
      <c r="AT45" s="111">
        <v>5</v>
      </c>
      <c r="AU45" s="111">
        <v>5</v>
      </c>
      <c r="AV45" s="50" t="s">
        <v>202</v>
      </c>
      <c r="AW45" s="50" t="s">
        <v>200</v>
      </c>
      <c r="AX45" s="50" t="s">
        <v>201</v>
      </c>
      <c r="AY45" s="50" t="s">
        <v>199</v>
      </c>
      <c r="AZ45" s="50" t="s">
        <v>202</v>
      </c>
      <c r="BA45" s="50" t="s">
        <v>199</v>
      </c>
      <c r="BB45" s="50" t="s">
        <v>202</v>
      </c>
      <c r="BC45" s="50" t="s">
        <v>202</v>
      </c>
      <c r="BD45" s="50" t="s">
        <v>202</v>
      </c>
      <c r="BE45" s="50" t="s">
        <v>201</v>
      </c>
      <c r="BF45" s="50" t="s">
        <v>201</v>
      </c>
      <c r="BG45" s="50" t="s">
        <v>202</v>
      </c>
      <c r="BH45" s="50" t="s">
        <v>201</v>
      </c>
      <c r="BI45" s="50" t="s">
        <v>202</v>
      </c>
      <c r="BJ45" s="50" t="s">
        <v>199</v>
      </c>
      <c r="BK45" s="50" t="s">
        <v>202</v>
      </c>
      <c r="BL45" s="50" t="s">
        <v>202</v>
      </c>
      <c r="BM45" s="50" t="s">
        <v>436</v>
      </c>
      <c r="BN45" s="50" t="s">
        <v>500</v>
      </c>
      <c r="BO45" s="50" t="s">
        <v>91</v>
      </c>
      <c r="BP45" s="50" t="s">
        <v>286</v>
      </c>
      <c r="BQ45" s="50" t="s">
        <v>287</v>
      </c>
      <c r="BR45" s="50" t="s">
        <v>372</v>
      </c>
      <c r="BS45" s="111">
        <v>5</v>
      </c>
      <c r="BT45" s="50" t="s">
        <v>286</v>
      </c>
      <c r="BU45" s="50" t="s">
        <v>348</v>
      </c>
      <c r="BV45" s="50" t="s">
        <v>288</v>
      </c>
      <c r="BW45" s="50" t="s">
        <v>350</v>
      </c>
      <c r="BX45" s="50" t="s">
        <v>387</v>
      </c>
      <c r="BY45" s="50" t="s">
        <v>288</v>
      </c>
      <c r="BZ45" s="50" t="s">
        <v>287</v>
      </c>
      <c r="CA45" s="50"/>
      <c r="CB45" s="50" t="s">
        <v>287</v>
      </c>
      <c r="CC45" s="50" t="s">
        <v>287</v>
      </c>
      <c r="CD45" s="50" t="s">
        <v>287</v>
      </c>
      <c r="CE45" s="50"/>
      <c r="CF45" s="50" t="s">
        <v>287</v>
      </c>
      <c r="CG45" s="50" t="s">
        <v>287</v>
      </c>
      <c r="CH45" s="50" t="s">
        <v>486</v>
      </c>
      <c r="CI45" s="50" t="s">
        <v>287</v>
      </c>
      <c r="CJ45" s="50"/>
      <c r="CK45" s="50"/>
      <c r="CL45" s="50"/>
      <c r="CM45" s="50"/>
      <c r="CN45" s="50"/>
      <c r="CO45" s="50"/>
      <c r="CP45" s="50"/>
      <c r="CQ45" s="50"/>
      <c r="CR45" s="50"/>
      <c r="CS45" s="50"/>
    </row>
    <row r="46" spans="1:97" ht="36.75" customHeight="1" thickBot="1">
      <c r="A46" s="49">
        <v>46084.326932870368</v>
      </c>
      <c r="B46" s="50" t="s">
        <v>40</v>
      </c>
      <c r="C46" s="50" t="s">
        <v>46</v>
      </c>
      <c r="D46" s="50" t="s">
        <v>374</v>
      </c>
      <c r="E46" s="50" t="s">
        <v>61</v>
      </c>
      <c r="F46" s="50" t="s">
        <v>286</v>
      </c>
      <c r="G46" s="50" t="s">
        <v>73</v>
      </c>
      <c r="H46" s="50" t="s">
        <v>323</v>
      </c>
      <c r="I46" s="50" t="s">
        <v>91</v>
      </c>
      <c r="J46" s="50" t="s">
        <v>286</v>
      </c>
      <c r="K46" s="50" t="s">
        <v>291</v>
      </c>
      <c r="L46" s="50" t="s">
        <v>286</v>
      </c>
      <c r="M46" s="50" t="s">
        <v>334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6</v>
      </c>
      <c r="T46" s="111">
        <v>4</v>
      </c>
      <c r="U46" s="111">
        <v>5</v>
      </c>
      <c r="V46" s="111">
        <v>6</v>
      </c>
      <c r="W46" s="111">
        <v>6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5</v>
      </c>
      <c r="AH46" s="111">
        <v>5</v>
      </c>
      <c r="AI46" s="111">
        <v>5</v>
      </c>
      <c r="AJ46" s="111">
        <v>5</v>
      </c>
      <c r="AK46" s="111">
        <v>3</v>
      </c>
      <c r="AL46" s="111">
        <v>5</v>
      </c>
      <c r="AM46" s="111">
        <v>5</v>
      </c>
      <c r="AN46" s="111">
        <v>5</v>
      </c>
      <c r="AO46" s="111">
        <v>5</v>
      </c>
      <c r="AP46" s="111">
        <v>5</v>
      </c>
      <c r="AQ46" s="111">
        <v>6</v>
      </c>
      <c r="AR46" s="111">
        <v>5</v>
      </c>
      <c r="AS46" s="111">
        <v>5</v>
      </c>
      <c r="AT46" s="111">
        <v>5</v>
      </c>
      <c r="AU46" s="111">
        <v>5</v>
      </c>
      <c r="AV46" s="50" t="s">
        <v>200</v>
      </c>
      <c r="AW46" s="50" t="s">
        <v>200</v>
      </c>
      <c r="AX46" s="50" t="s">
        <v>201</v>
      </c>
      <c r="AY46" s="50" t="s">
        <v>199</v>
      </c>
      <c r="AZ46" s="50" t="s">
        <v>202</v>
      </c>
      <c r="BA46" s="50" t="s">
        <v>200</v>
      </c>
      <c r="BB46" s="50" t="s">
        <v>202</v>
      </c>
      <c r="BC46" s="50" t="s">
        <v>202</v>
      </c>
      <c r="BD46" s="50" t="s">
        <v>202</v>
      </c>
      <c r="BE46" s="50" t="s">
        <v>200</v>
      </c>
      <c r="BF46" s="50" t="s">
        <v>201</v>
      </c>
      <c r="BG46" s="50" t="s">
        <v>202</v>
      </c>
      <c r="BH46" s="50" t="s">
        <v>200</v>
      </c>
      <c r="BI46" s="50" t="s">
        <v>202</v>
      </c>
      <c r="BJ46" s="50" t="s">
        <v>199</v>
      </c>
      <c r="BK46" s="50" t="s">
        <v>202</v>
      </c>
      <c r="BL46" s="50" t="s">
        <v>202</v>
      </c>
      <c r="BM46" s="50" t="s">
        <v>436</v>
      </c>
      <c r="BN46" s="50" t="s">
        <v>388</v>
      </c>
      <c r="BO46" s="50" t="s">
        <v>91</v>
      </c>
      <c r="BP46" s="50" t="s">
        <v>286</v>
      </c>
      <c r="BQ46" s="50" t="s">
        <v>287</v>
      </c>
      <c r="BR46" s="50" t="s">
        <v>372</v>
      </c>
      <c r="BS46" s="111">
        <v>5</v>
      </c>
      <c r="BT46" s="50" t="s">
        <v>286</v>
      </c>
      <c r="BU46" s="50" t="s">
        <v>348</v>
      </c>
      <c r="BV46" s="50" t="s">
        <v>288</v>
      </c>
      <c r="BW46" s="50" t="s">
        <v>350</v>
      </c>
      <c r="BX46" s="50" t="s">
        <v>387</v>
      </c>
      <c r="BY46" s="50" t="s">
        <v>288</v>
      </c>
      <c r="BZ46" s="50" t="s">
        <v>287</v>
      </c>
      <c r="CA46" s="50"/>
      <c r="CB46" s="50" t="s">
        <v>287</v>
      </c>
      <c r="CC46" s="50" t="s">
        <v>287</v>
      </c>
      <c r="CD46" s="50" t="s">
        <v>287</v>
      </c>
      <c r="CE46" s="50"/>
      <c r="CF46" s="50" t="s">
        <v>287</v>
      </c>
      <c r="CG46" s="50" t="s">
        <v>287</v>
      </c>
      <c r="CH46" s="50" t="s">
        <v>486</v>
      </c>
      <c r="CI46" s="50" t="s">
        <v>287</v>
      </c>
      <c r="CJ46" s="50"/>
      <c r="CK46" s="50"/>
      <c r="CL46" s="50"/>
      <c r="CM46" s="50"/>
      <c r="CN46" s="50"/>
      <c r="CO46" s="50"/>
      <c r="CP46" s="50"/>
      <c r="CQ46" s="50"/>
      <c r="CR46" s="50"/>
      <c r="CS46" s="50"/>
    </row>
    <row r="47" spans="1:97" ht="36.75" customHeight="1" thickBot="1">
      <c r="A47" s="49">
        <v>46084.357557870368</v>
      </c>
      <c r="B47" s="50" t="s">
        <v>40</v>
      </c>
      <c r="C47" s="50" t="s">
        <v>45</v>
      </c>
      <c r="D47" s="50" t="s">
        <v>374</v>
      </c>
      <c r="E47" s="50" t="s">
        <v>61</v>
      </c>
      <c r="F47" s="50" t="s">
        <v>286</v>
      </c>
      <c r="G47" s="50" t="s">
        <v>73</v>
      </c>
      <c r="H47" s="50" t="s">
        <v>501</v>
      </c>
      <c r="I47" s="50" t="s">
        <v>81</v>
      </c>
      <c r="J47" s="50" t="s">
        <v>286</v>
      </c>
      <c r="K47" s="50" t="s">
        <v>287</v>
      </c>
      <c r="L47" s="50" t="s">
        <v>336</v>
      </c>
      <c r="M47" s="50" t="s">
        <v>316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5</v>
      </c>
      <c r="AH47" s="111">
        <v>5</v>
      </c>
      <c r="AI47" s="111">
        <v>5</v>
      </c>
      <c r="AJ47" s="111">
        <v>5</v>
      </c>
      <c r="AK47" s="111">
        <v>5</v>
      </c>
      <c r="AL47" s="111">
        <v>5</v>
      </c>
      <c r="AM47" s="111">
        <v>5</v>
      </c>
      <c r="AN47" s="111">
        <v>5</v>
      </c>
      <c r="AO47" s="111">
        <v>5</v>
      </c>
      <c r="AP47" s="111">
        <v>5</v>
      </c>
      <c r="AQ47" s="111">
        <v>5</v>
      </c>
      <c r="AR47" s="111">
        <v>5</v>
      </c>
      <c r="AS47" s="111">
        <v>5</v>
      </c>
      <c r="AT47" s="111">
        <v>5</v>
      </c>
      <c r="AU47" s="111">
        <v>5</v>
      </c>
      <c r="AV47" s="50" t="s">
        <v>199</v>
      </c>
      <c r="AW47" s="50" t="s">
        <v>199</v>
      </c>
      <c r="AX47" s="50" t="s">
        <v>199</v>
      </c>
      <c r="AY47" s="50" t="s">
        <v>200</v>
      </c>
      <c r="AZ47" s="50" t="s">
        <v>200</v>
      </c>
      <c r="BA47" s="50" t="s">
        <v>200</v>
      </c>
      <c r="BB47" s="50" t="s">
        <v>200</v>
      </c>
      <c r="BC47" s="50" t="s">
        <v>200</v>
      </c>
      <c r="BD47" s="50" t="s">
        <v>200</v>
      </c>
      <c r="BE47" s="50" t="s">
        <v>200</v>
      </c>
      <c r="BF47" s="50" t="s">
        <v>200</v>
      </c>
      <c r="BG47" s="50" t="s">
        <v>200</v>
      </c>
      <c r="BH47" s="50" t="s">
        <v>200</v>
      </c>
      <c r="BI47" s="50" t="s">
        <v>200</v>
      </c>
      <c r="BJ47" s="50" t="s">
        <v>200</v>
      </c>
      <c r="BK47" s="50" t="s">
        <v>200</v>
      </c>
      <c r="BL47" s="50" t="s">
        <v>200</v>
      </c>
      <c r="BM47" s="50" t="s">
        <v>436</v>
      </c>
      <c r="BN47" s="50" t="s">
        <v>318</v>
      </c>
      <c r="BO47" s="50" t="s">
        <v>91</v>
      </c>
      <c r="BP47" s="50" t="s">
        <v>286</v>
      </c>
      <c r="BQ47" s="50" t="s">
        <v>287</v>
      </c>
      <c r="BR47" s="50" t="s">
        <v>403</v>
      </c>
      <c r="BS47" s="111">
        <v>5</v>
      </c>
      <c r="BT47" s="50" t="s">
        <v>286</v>
      </c>
      <c r="BU47" s="50" t="s">
        <v>312</v>
      </c>
      <c r="BV47" s="50" t="s">
        <v>288</v>
      </c>
      <c r="BW47" s="50" t="s">
        <v>297</v>
      </c>
      <c r="BX47" s="50" t="s">
        <v>296</v>
      </c>
      <c r="BY47" s="50" t="s">
        <v>288</v>
      </c>
      <c r="BZ47" s="50" t="s">
        <v>287</v>
      </c>
      <c r="CA47" s="50"/>
      <c r="CB47" s="50" t="s">
        <v>287</v>
      </c>
      <c r="CC47" s="50" t="s">
        <v>287</v>
      </c>
      <c r="CD47" s="50" t="s">
        <v>287</v>
      </c>
      <c r="CE47" s="50"/>
      <c r="CF47" s="50" t="s">
        <v>287</v>
      </c>
      <c r="CG47" s="50" t="s">
        <v>287</v>
      </c>
      <c r="CH47" s="50" t="s">
        <v>486</v>
      </c>
      <c r="CI47" s="50" t="s">
        <v>287</v>
      </c>
      <c r="CJ47" s="50"/>
      <c r="CK47" s="50"/>
      <c r="CL47" s="50"/>
      <c r="CM47" s="50"/>
      <c r="CN47" s="50"/>
      <c r="CO47" s="50"/>
      <c r="CP47" s="50"/>
      <c r="CQ47" s="50"/>
      <c r="CR47" s="50"/>
      <c r="CS47" s="50"/>
    </row>
    <row r="48" spans="1:97" ht="36.75" customHeight="1" thickBot="1">
      <c r="A48" s="49">
        <v>46084.36105324074</v>
      </c>
      <c r="B48" s="50" t="s">
        <v>40</v>
      </c>
      <c r="C48" s="50" t="s">
        <v>45</v>
      </c>
      <c r="D48" s="50" t="s">
        <v>374</v>
      </c>
      <c r="E48" s="50" t="s">
        <v>61</v>
      </c>
      <c r="F48" s="50" t="s">
        <v>286</v>
      </c>
      <c r="G48" s="50" t="s">
        <v>73</v>
      </c>
      <c r="H48" s="50" t="s">
        <v>355</v>
      </c>
      <c r="I48" s="50" t="s">
        <v>81</v>
      </c>
      <c r="J48" s="50" t="s">
        <v>286</v>
      </c>
      <c r="K48" s="50" t="s">
        <v>287</v>
      </c>
      <c r="L48" s="50" t="s">
        <v>405</v>
      </c>
      <c r="M48" s="50" t="s">
        <v>316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5</v>
      </c>
      <c r="AH48" s="111">
        <v>5</v>
      </c>
      <c r="AI48" s="111">
        <v>5</v>
      </c>
      <c r="AJ48" s="111">
        <v>5</v>
      </c>
      <c r="AK48" s="111">
        <v>5</v>
      </c>
      <c r="AL48" s="111">
        <v>5</v>
      </c>
      <c r="AM48" s="111">
        <v>5</v>
      </c>
      <c r="AN48" s="111">
        <v>5</v>
      </c>
      <c r="AO48" s="111">
        <v>5</v>
      </c>
      <c r="AP48" s="111">
        <v>5</v>
      </c>
      <c r="AQ48" s="111">
        <v>5</v>
      </c>
      <c r="AR48" s="111">
        <v>5</v>
      </c>
      <c r="AS48" s="111">
        <v>5</v>
      </c>
      <c r="AT48" s="111">
        <v>5</v>
      </c>
      <c r="AU48" s="111">
        <v>5</v>
      </c>
      <c r="AV48" s="50" t="s">
        <v>199</v>
      </c>
      <c r="AW48" s="50" t="s">
        <v>199</v>
      </c>
      <c r="AX48" s="50" t="s">
        <v>199</v>
      </c>
      <c r="AY48" s="50" t="s">
        <v>200</v>
      </c>
      <c r="AZ48" s="50" t="s">
        <v>200</v>
      </c>
      <c r="BA48" s="50" t="s">
        <v>200</v>
      </c>
      <c r="BB48" s="50" t="s">
        <v>200</v>
      </c>
      <c r="BC48" s="50" t="s">
        <v>200</v>
      </c>
      <c r="BD48" s="50" t="s">
        <v>200</v>
      </c>
      <c r="BE48" s="50" t="s">
        <v>200</v>
      </c>
      <c r="BF48" s="50" t="s">
        <v>200</v>
      </c>
      <c r="BG48" s="50" t="s">
        <v>200</v>
      </c>
      <c r="BH48" s="50" t="s">
        <v>200</v>
      </c>
      <c r="BI48" s="50" t="s">
        <v>200</v>
      </c>
      <c r="BJ48" s="50" t="s">
        <v>200</v>
      </c>
      <c r="BK48" s="50" t="s">
        <v>200</v>
      </c>
      <c r="BL48" s="50" t="s">
        <v>200</v>
      </c>
      <c r="BM48" s="50" t="s">
        <v>436</v>
      </c>
      <c r="BN48" s="50" t="s">
        <v>318</v>
      </c>
      <c r="BO48" s="50" t="s">
        <v>91</v>
      </c>
      <c r="BP48" s="50" t="s">
        <v>286</v>
      </c>
      <c r="BQ48" s="50" t="s">
        <v>287</v>
      </c>
      <c r="BR48" s="50" t="s">
        <v>382</v>
      </c>
      <c r="BS48" s="111">
        <v>5</v>
      </c>
      <c r="BT48" s="50" t="s">
        <v>286</v>
      </c>
      <c r="BU48" s="50" t="s">
        <v>312</v>
      </c>
      <c r="BV48" s="50" t="s">
        <v>288</v>
      </c>
      <c r="BW48" s="50" t="s">
        <v>304</v>
      </c>
      <c r="BX48" s="50" t="s">
        <v>290</v>
      </c>
      <c r="BY48" s="50" t="s">
        <v>288</v>
      </c>
      <c r="BZ48" s="50" t="s">
        <v>287</v>
      </c>
      <c r="CA48" s="50"/>
      <c r="CB48" s="50" t="s">
        <v>287</v>
      </c>
      <c r="CC48" s="50" t="s">
        <v>287</v>
      </c>
      <c r="CD48" s="50" t="s">
        <v>287</v>
      </c>
      <c r="CE48" s="50"/>
      <c r="CF48" s="50" t="s">
        <v>287</v>
      </c>
      <c r="CG48" s="50" t="s">
        <v>287</v>
      </c>
      <c r="CH48" s="50" t="s">
        <v>486</v>
      </c>
      <c r="CI48" s="50" t="s">
        <v>287</v>
      </c>
      <c r="CJ48" s="50"/>
      <c r="CK48" s="50"/>
      <c r="CL48" s="50"/>
      <c r="CM48" s="50"/>
      <c r="CN48" s="50"/>
      <c r="CO48" s="50"/>
      <c r="CP48" s="50"/>
      <c r="CQ48" s="50"/>
      <c r="CR48" s="50"/>
      <c r="CS48" s="50"/>
    </row>
    <row r="49" spans="1:97" ht="36.75" customHeight="1" thickBot="1">
      <c r="A49" s="49">
        <v>46084.364652777775</v>
      </c>
      <c r="B49" s="50" t="s">
        <v>40</v>
      </c>
      <c r="C49" s="50" t="s">
        <v>46</v>
      </c>
      <c r="D49" s="50" t="s">
        <v>374</v>
      </c>
      <c r="E49" s="50" t="s">
        <v>59</v>
      </c>
      <c r="F49" s="50" t="s">
        <v>502</v>
      </c>
      <c r="G49" s="50" t="s">
        <v>73</v>
      </c>
      <c r="H49" s="50" t="s">
        <v>425</v>
      </c>
      <c r="I49" s="50" t="s">
        <v>81</v>
      </c>
      <c r="J49" s="50" t="s">
        <v>286</v>
      </c>
      <c r="K49" s="50" t="s">
        <v>287</v>
      </c>
      <c r="L49" s="50" t="s">
        <v>336</v>
      </c>
      <c r="M49" s="50" t="s">
        <v>316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5</v>
      </c>
      <c r="AH49" s="111">
        <v>5</v>
      </c>
      <c r="AI49" s="111">
        <v>5</v>
      </c>
      <c r="AJ49" s="111">
        <v>5</v>
      </c>
      <c r="AK49" s="111">
        <v>5</v>
      </c>
      <c r="AL49" s="111">
        <v>5</v>
      </c>
      <c r="AM49" s="111">
        <v>5</v>
      </c>
      <c r="AN49" s="111">
        <v>5</v>
      </c>
      <c r="AO49" s="111">
        <v>5</v>
      </c>
      <c r="AP49" s="111">
        <v>5</v>
      </c>
      <c r="AQ49" s="111">
        <v>5</v>
      </c>
      <c r="AR49" s="111">
        <v>5</v>
      </c>
      <c r="AS49" s="111">
        <v>5</v>
      </c>
      <c r="AT49" s="111">
        <v>5</v>
      </c>
      <c r="AU49" s="111">
        <v>5</v>
      </c>
      <c r="AV49" s="50" t="s">
        <v>199</v>
      </c>
      <c r="AW49" s="50" t="s">
        <v>199</v>
      </c>
      <c r="AX49" s="50" t="s">
        <v>199</v>
      </c>
      <c r="AY49" s="50" t="s">
        <v>200</v>
      </c>
      <c r="AZ49" s="50" t="s">
        <v>200</v>
      </c>
      <c r="BA49" s="50" t="s">
        <v>200</v>
      </c>
      <c r="BB49" s="50" t="s">
        <v>200</v>
      </c>
      <c r="BC49" s="50" t="s">
        <v>200</v>
      </c>
      <c r="BD49" s="50" t="s">
        <v>200</v>
      </c>
      <c r="BE49" s="50" t="s">
        <v>200</v>
      </c>
      <c r="BF49" s="50" t="s">
        <v>200</v>
      </c>
      <c r="BG49" s="50" t="s">
        <v>200</v>
      </c>
      <c r="BH49" s="50" t="s">
        <v>200</v>
      </c>
      <c r="BI49" s="50" t="s">
        <v>200</v>
      </c>
      <c r="BJ49" s="50" t="s">
        <v>200</v>
      </c>
      <c r="BK49" s="50" t="s">
        <v>200</v>
      </c>
      <c r="BL49" s="50" t="s">
        <v>200</v>
      </c>
      <c r="BM49" s="50" t="s">
        <v>436</v>
      </c>
      <c r="BN49" s="50" t="s">
        <v>318</v>
      </c>
      <c r="BO49" s="50" t="s">
        <v>91</v>
      </c>
      <c r="BP49" s="50" t="s">
        <v>286</v>
      </c>
      <c r="BQ49" s="50" t="s">
        <v>287</v>
      </c>
      <c r="BR49" s="50" t="s">
        <v>410</v>
      </c>
      <c r="BS49" s="111">
        <v>5</v>
      </c>
      <c r="BT49" s="50" t="s">
        <v>286</v>
      </c>
      <c r="BU49" s="50" t="s">
        <v>312</v>
      </c>
      <c r="BV49" s="50" t="s">
        <v>288</v>
      </c>
      <c r="BW49" s="50" t="s">
        <v>289</v>
      </c>
      <c r="BX49" s="50" t="s">
        <v>296</v>
      </c>
      <c r="BY49" s="50" t="s">
        <v>288</v>
      </c>
      <c r="BZ49" s="50" t="s">
        <v>287</v>
      </c>
      <c r="CA49" s="50"/>
      <c r="CB49" s="50" t="s">
        <v>287</v>
      </c>
      <c r="CC49" s="50" t="s">
        <v>287</v>
      </c>
      <c r="CD49" s="50" t="s">
        <v>287</v>
      </c>
      <c r="CE49" s="50"/>
      <c r="CF49" s="50" t="s">
        <v>287</v>
      </c>
      <c r="CG49" s="50" t="s">
        <v>287</v>
      </c>
      <c r="CH49" s="50" t="s">
        <v>486</v>
      </c>
      <c r="CI49" s="50" t="s">
        <v>287</v>
      </c>
      <c r="CJ49" s="50"/>
      <c r="CK49" s="50"/>
      <c r="CL49" s="50"/>
      <c r="CM49" s="50"/>
      <c r="CN49" s="50"/>
      <c r="CO49" s="50"/>
      <c r="CP49" s="50"/>
      <c r="CQ49" s="50"/>
      <c r="CR49" s="50"/>
      <c r="CS49" s="50"/>
    </row>
    <row r="50" spans="1:97" ht="36.75" customHeight="1" thickBot="1">
      <c r="A50" s="49">
        <v>46084.367708333331</v>
      </c>
      <c r="B50" s="50" t="s">
        <v>40</v>
      </c>
      <c r="C50" s="50" t="s">
        <v>45</v>
      </c>
      <c r="D50" s="50" t="s">
        <v>374</v>
      </c>
      <c r="E50" s="50" t="s">
        <v>61</v>
      </c>
      <c r="F50" s="50"/>
      <c r="G50" s="50" t="s">
        <v>73</v>
      </c>
      <c r="H50" s="50" t="s">
        <v>321</v>
      </c>
      <c r="I50" s="50" t="s">
        <v>81</v>
      </c>
      <c r="J50" s="50" t="s">
        <v>286</v>
      </c>
      <c r="K50" s="50" t="s">
        <v>291</v>
      </c>
      <c r="L50" s="50" t="s">
        <v>317</v>
      </c>
      <c r="M50" s="50" t="s">
        <v>316</v>
      </c>
      <c r="N50" s="111">
        <v>5</v>
      </c>
      <c r="O50" s="111">
        <v>5</v>
      </c>
      <c r="P50" s="111">
        <v>5</v>
      </c>
      <c r="Q50" s="111">
        <v>5</v>
      </c>
      <c r="R50" s="111">
        <v>5</v>
      </c>
      <c r="S50" s="111">
        <v>5</v>
      </c>
      <c r="T50" s="111">
        <v>5</v>
      </c>
      <c r="U50" s="111">
        <v>5</v>
      </c>
      <c r="V50" s="111">
        <v>5</v>
      </c>
      <c r="W50" s="111">
        <v>5</v>
      </c>
      <c r="X50" s="111">
        <v>5</v>
      </c>
      <c r="Y50" s="111">
        <v>5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5</v>
      </c>
      <c r="AF50" s="111">
        <v>5</v>
      </c>
      <c r="AG50" s="111">
        <v>5</v>
      </c>
      <c r="AH50" s="111">
        <v>5</v>
      </c>
      <c r="AI50" s="111">
        <v>5</v>
      </c>
      <c r="AJ50" s="111">
        <v>5</v>
      </c>
      <c r="AK50" s="111">
        <v>5</v>
      </c>
      <c r="AL50" s="111">
        <v>5</v>
      </c>
      <c r="AM50" s="111">
        <v>5</v>
      </c>
      <c r="AN50" s="111">
        <v>5</v>
      </c>
      <c r="AO50" s="111">
        <v>5</v>
      </c>
      <c r="AP50" s="111">
        <v>5</v>
      </c>
      <c r="AQ50" s="111">
        <v>5</v>
      </c>
      <c r="AR50" s="111">
        <v>5</v>
      </c>
      <c r="AS50" s="111">
        <v>5</v>
      </c>
      <c r="AT50" s="111">
        <v>5</v>
      </c>
      <c r="AU50" s="111">
        <v>5</v>
      </c>
      <c r="AV50" s="50" t="s">
        <v>199</v>
      </c>
      <c r="AW50" s="50" t="s">
        <v>199</v>
      </c>
      <c r="AX50" s="50" t="s">
        <v>199</v>
      </c>
      <c r="AY50" s="50" t="s">
        <v>200</v>
      </c>
      <c r="AZ50" s="50" t="s">
        <v>200</v>
      </c>
      <c r="BA50" s="50" t="s">
        <v>200</v>
      </c>
      <c r="BB50" s="50" t="s">
        <v>200</v>
      </c>
      <c r="BC50" s="50" t="s">
        <v>200</v>
      </c>
      <c r="BD50" s="50" t="s">
        <v>200</v>
      </c>
      <c r="BE50" s="50" t="s">
        <v>200</v>
      </c>
      <c r="BF50" s="50" t="s">
        <v>200</v>
      </c>
      <c r="BG50" s="50" t="s">
        <v>200</v>
      </c>
      <c r="BH50" s="50" t="s">
        <v>200</v>
      </c>
      <c r="BI50" s="50" t="s">
        <v>200</v>
      </c>
      <c r="BJ50" s="50" t="s">
        <v>200</v>
      </c>
      <c r="BK50" s="50" t="s">
        <v>200</v>
      </c>
      <c r="BL50" s="50" t="s">
        <v>200</v>
      </c>
      <c r="BM50" s="50" t="s">
        <v>436</v>
      </c>
      <c r="BN50" s="50" t="s">
        <v>318</v>
      </c>
      <c r="BO50" s="50" t="s">
        <v>428</v>
      </c>
      <c r="BP50" s="50" t="s">
        <v>286</v>
      </c>
      <c r="BQ50" s="50" t="s">
        <v>287</v>
      </c>
      <c r="BR50" s="50" t="s">
        <v>403</v>
      </c>
      <c r="BS50" s="111">
        <v>5</v>
      </c>
      <c r="BT50" s="50" t="s">
        <v>286</v>
      </c>
      <c r="BU50" s="50" t="s">
        <v>312</v>
      </c>
      <c r="BV50" s="50" t="s">
        <v>288</v>
      </c>
      <c r="BW50" s="50" t="s">
        <v>289</v>
      </c>
      <c r="BX50" s="50" t="s">
        <v>296</v>
      </c>
      <c r="BY50" s="50" t="s">
        <v>288</v>
      </c>
      <c r="BZ50" s="50" t="s">
        <v>287</v>
      </c>
      <c r="CA50" s="50"/>
      <c r="CB50" s="50" t="s">
        <v>287</v>
      </c>
      <c r="CC50" s="50" t="s">
        <v>287</v>
      </c>
      <c r="CD50" s="50" t="s">
        <v>287</v>
      </c>
      <c r="CE50" s="50"/>
      <c r="CF50" s="50" t="s">
        <v>287</v>
      </c>
      <c r="CG50" s="50" t="s">
        <v>287</v>
      </c>
      <c r="CH50" s="50" t="s">
        <v>486</v>
      </c>
      <c r="CI50" s="50" t="s">
        <v>287</v>
      </c>
      <c r="CJ50" s="50"/>
      <c r="CK50" s="50"/>
      <c r="CL50" s="50"/>
      <c r="CM50" s="50"/>
      <c r="CN50" s="50"/>
      <c r="CO50" s="50"/>
      <c r="CP50" s="50"/>
      <c r="CQ50" s="50"/>
      <c r="CR50" s="50"/>
      <c r="CS50" s="50"/>
    </row>
    <row r="51" spans="1:97" ht="36.75" customHeight="1" thickBot="1">
      <c r="A51" s="49">
        <v>46084.370069444441</v>
      </c>
      <c r="B51" s="50" t="s">
        <v>40</v>
      </c>
      <c r="C51" s="50" t="s">
        <v>45</v>
      </c>
      <c r="D51" s="50" t="s">
        <v>374</v>
      </c>
      <c r="E51" s="50" t="s">
        <v>61</v>
      </c>
      <c r="F51" s="50" t="s">
        <v>286</v>
      </c>
      <c r="G51" s="50" t="s">
        <v>292</v>
      </c>
      <c r="H51" s="50" t="s">
        <v>367</v>
      </c>
      <c r="I51" s="50" t="s">
        <v>81</v>
      </c>
      <c r="J51" s="50" t="s">
        <v>286</v>
      </c>
      <c r="K51" s="50" t="s">
        <v>287</v>
      </c>
      <c r="L51" s="50" t="s">
        <v>336</v>
      </c>
      <c r="M51" s="50" t="s">
        <v>316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5</v>
      </c>
      <c r="AH51" s="111">
        <v>5</v>
      </c>
      <c r="AI51" s="111">
        <v>5</v>
      </c>
      <c r="AJ51" s="111">
        <v>5</v>
      </c>
      <c r="AK51" s="111">
        <v>5</v>
      </c>
      <c r="AL51" s="111">
        <v>5</v>
      </c>
      <c r="AM51" s="111">
        <v>5</v>
      </c>
      <c r="AN51" s="111">
        <v>5</v>
      </c>
      <c r="AO51" s="111">
        <v>5</v>
      </c>
      <c r="AP51" s="111">
        <v>5</v>
      </c>
      <c r="AQ51" s="111">
        <v>5</v>
      </c>
      <c r="AR51" s="111">
        <v>5</v>
      </c>
      <c r="AS51" s="111">
        <v>5</v>
      </c>
      <c r="AT51" s="111">
        <v>5</v>
      </c>
      <c r="AU51" s="111">
        <v>5</v>
      </c>
      <c r="AV51" s="50" t="s">
        <v>199</v>
      </c>
      <c r="AW51" s="50" t="s">
        <v>199</v>
      </c>
      <c r="AX51" s="50" t="s">
        <v>199</v>
      </c>
      <c r="AY51" s="50" t="s">
        <v>200</v>
      </c>
      <c r="AZ51" s="50" t="s">
        <v>200</v>
      </c>
      <c r="BA51" s="50" t="s">
        <v>200</v>
      </c>
      <c r="BB51" s="50" t="s">
        <v>200</v>
      </c>
      <c r="BC51" s="50" t="s">
        <v>200</v>
      </c>
      <c r="BD51" s="50" t="s">
        <v>200</v>
      </c>
      <c r="BE51" s="50" t="s">
        <v>200</v>
      </c>
      <c r="BF51" s="50" t="s">
        <v>200</v>
      </c>
      <c r="BG51" s="50" t="s">
        <v>200</v>
      </c>
      <c r="BH51" s="50" t="s">
        <v>200</v>
      </c>
      <c r="BI51" s="50" t="s">
        <v>200</v>
      </c>
      <c r="BJ51" s="50" t="s">
        <v>200</v>
      </c>
      <c r="BK51" s="50" t="s">
        <v>200</v>
      </c>
      <c r="BL51" s="50" t="s">
        <v>200</v>
      </c>
      <c r="BM51" s="50" t="s">
        <v>436</v>
      </c>
      <c r="BN51" s="50" t="s">
        <v>318</v>
      </c>
      <c r="BO51" s="50" t="s">
        <v>378</v>
      </c>
      <c r="BP51" s="50" t="s">
        <v>286</v>
      </c>
      <c r="BQ51" s="50" t="s">
        <v>287</v>
      </c>
      <c r="BR51" s="50" t="s">
        <v>403</v>
      </c>
      <c r="BS51" s="111">
        <v>5</v>
      </c>
      <c r="BT51" s="50" t="s">
        <v>286</v>
      </c>
      <c r="BU51" s="50" t="s">
        <v>312</v>
      </c>
      <c r="BV51" s="50" t="s">
        <v>288</v>
      </c>
      <c r="BW51" s="50" t="s">
        <v>303</v>
      </c>
      <c r="BX51" s="50" t="s">
        <v>300</v>
      </c>
      <c r="BY51" s="50" t="s">
        <v>288</v>
      </c>
      <c r="BZ51" s="50" t="s">
        <v>287</v>
      </c>
      <c r="CA51" s="50"/>
      <c r="CB51" s="50" t="s">
        <v>287</v>
      </c>
      <c r="CC51" s="50" t="s">
        <v>287</v>
      </c>
      <c r="CD51" s="50" t="s">
        <v>287</v>
      </c>
      <c r="CE51" s="50"/>
      <c r="CF51" s="50" t="s">
        <v>287</v>
      </c>
      <c r="CG51" s="50" t="s">
        <v>287</v>
      </c>
      <c r="CH51" s="50" t="s">
        <v>486</v>
      </c>
      <c r="CI51" s="50" t="s">
        <v>287</v>
      </c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1:97" ht="36.75" customHeight="1" thickBot="1">
      <c r="A52" s="49">
        <v>46084.373136574075</v>
      </c>
      <c r="B52" s="50" t="s">
        <v>40</v>
      </c>
      <c r="C52" s="50" t="s">
        <v>45</v>
      </c>
      <c r="D52" s="50" t="s">
        <v>374</v>
      </c>
      <c r="E52" s="50" t="s">
        <v>62</v>
      </c>
      <c r="F52" s="50" t="s">
        <v>286</v>
      </c>
      <c r="G52" s="50" t="s">
        <v>73</v>
      </c>
      <c r="H52" s="50" t="s">
        <v>361</v>
      </c>
      <c r="I52" s="50" t="s">
        <v>81</v>
      </c>
      <c r="J52" s="50" t="s">
        <v>286</v>
      </c>
      <c r="K52" s="50" t="s">
        <v>287</v>
      </c>
      <c r="L52" s="50" t="s">
        <v>336</v>
      </c>
      <c r="M52" s="50" t="s">
        <v>316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5</v>
      </c>
      <c r="AH52" s="111">
        <v>5</v>
      </c>
      <c r="AI52" s="111">
        <v>5</v>
      </c>
      <c r="AJ52" s="111">
        <v>5</v>
      </c>
      <c r="AK52" s="111">
        <v>5</v>
      </c>
      <c r="AL52" s="111">
        <v>5</v>
      </c>
      <c r="AM52" s="111">
        <v>5</v>
      </c>
      <c r="AN52" s="111">
        <v>5</v>
      </c>
      <c r="AO52" s="111">
        <v>5</v>
      </c>
      <c r="AP52" s="111">
        <v>5</v>
      </c>
      <c r="AQ52" s="111">
        <v>5</v>
      </c>
      <c r="AR52" s="111">
        <v>5</v>
      </c>
      <c r="AS52" s="111">
        <v>5</v>
      </c>
      <c r="AT52" s="111">
        <v>5</v>
      </c>
      <c r="AU52" s="111">
        <v>5</v>
      </c>
      <c r="AV52" s="50" t="s">
        <v>199</v>
      </c>
      <c r="AW52" s="50" t="s">
        <v>199</v>
      </c>
      <c r="AX52" s="50" t="s">
        <v>199</v>
      </c>
      <c r="AY52" s="50" t="s">
        <v>200</v>
      </c>
      <c r="AZ52" s="50" t="s">
        <v>200</v>
      </c>
      <c r="BA52" s="50" t="s">
        <v>200</v>
      </c>
      <c r="BB52" s="50" t="s">
        <v>200</v>
      </c>
      <c r="BC52" s="50" t="s">
        <v>200</v>
      </c>
      <c r="BD52" s="50" t="s">
        <v>200</v>
      </c>
      <c r="BE52" s="50" t="s">
        <v>200</v>
      </c>
      <c r="BF52" s="50" t="s">
        <v>200</v>
      </c>
      <c r="BG52" s="50" t="s">
        <v>200</v>
      </c>
      <c r="BH52" s="50" t="s">
        <v>200</v>
      </c>
      <c r="BI52" s="50" t="s">
        <v>200</v>
      </c>
      <c r="BJ52" s="50" t="s">
        <v>200</v>
      </c>
      <c r="BK52" s="50" t="s">
        <v>200</v>
      </c>
      <c r="BL52" s="50" t="s">
        <v>200</v>
      </c>
      <c r="BM52" s="50" t="s">
        <v>436</v>
      </c>
      <c r="BN52" s="50" t="s">
        <v>318</v>
      </c>
      <c r="BO52" s="50" t="s">
        <v>91</v>
      </c>
      <c r="BP52" s="50" t="s">
        <v>286</v>
      </c>
      <c r="BQ52" s="50" t="s">
        <v>287</v>
      </c>
      <c r="BR52" s="50" t="s">
        <v>403</v>
      </c>
      <c r="BS52" s="111">
        <v>5</v>
      </c>
      <c r="BT52" s="50" t="s">
        <v>286</v>
      </c>
      <c r="BU52" s="50" t="s">
        <v>312</v>
      </c>
      <c r="BV52" s="50" t="s">
        <v>288</v>
      </c>
      <c r="BW52" s="50" t="s">
        <v>304</v>
      </c>
      <c r="BX52" s="50" t="s">
        <v>300</v>
      </c>
      <c r="BY52" s="50" t="s">
        <v>288</v>
      </c>
      <c r="BZ52" s="50" t="s">
        <v>287</v>
      </c>
      <c r="CA52" s="50"/>
      <c r="CB52" s="50" t="s">
        <v>287</v>
      </c>
      <c r="CC52" s="50" t="s">
        <v>287</v>
      </c>
      <c r="CD52" s="50" t="s">
        <v>287</v>
      </c>
      <c r="CE52" s="50"/>
      <c r="CF52" s="50" t="s">
        <v>287</v>
      </c>
      <c r="CG52" s="50" t="s">
        <v>287</v>
      </c>
      <c r="CH52" s="50" t="s">
        <v>486</v>
      </c>
      <c r="CI52" s="50" t="s">
        <v>287</v>
      </c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1:97" ht="36.75" customHeight="1" thickBot="1">
      <c r="A53" s="49">
        <v>46084.385821759257</v>
      </c>
      <c r="B53" s="50" t="s">
        <v>40</v>
      </c>
      <c r="C53" s="50" t="s">
        <v>45</v>
      </c>
      <c r="D53" s="50" t="s">
        <v>374</v>
      </c>
      <c r="E53" s="50" t="s">
        <v>61</v>
      </c>
      <c r="F53" s="50" t="s">
        <v>286</v>
      </c>
      <c r="G53" s="50" t="s">
        <v>73</v>
      </c>
      <c r="H53" s="50" t="s">
        <v>314</v>
      </c>
      <c r="I53" s="50" t="s">
        <v>91</v>
      </c>
      <c r="J53" s="50" t="s">
        <v>286</v>
      </c>
      <c r="K53" s="50" t="s">
        <v>291</v>
      </c>
      <c r="L53" s="50" t="s">
        <v>286</v>
      </c>
      <c r="M53" s="50" t="s">
        <v>334</v>
      </c>
      <c r="N53" s="111">
        <v>5</v>
      </c>
      <c r="O53" s="111">
        <v>5</v>
      </c>
      <c r="P53" s="111">
        <v>5</v>
      </c>
      <c r="Q53" s="111">
        <v>5</v>
      </c>
      <c r="R53" s="111">
        <v>6</v>
      </c>
      <c r="S53" s="111">
        <v>6</v>
      </c>
      <c r="T53" s="111">
        <v>4</v>
      </c>
      <c r="U53" s="111">
        <v>5</v>
      </c>
      <c r="V53" s="111">
        <v>6</v>
      </c>
      <c r="W53" s="111">
        <v>6</v>
      </c>
      <c r="X53" s="111">
        <v>5</v>
      </c>
      <c r="Y53" s="111">
        <v>5</v>
      </c>
      <c r="Z53" s="111">
        <v>5</v>
      </c>
      <c r="AA53" s="111">
        <v>5</v>
      </c>
      <c r="AB53" s="111">
        <v>5</v>
      </c>
      <c r="AC53" s="111">
        <v>5</v>
      </c>
      <c r="AD53" s="111">
        <v>5</v>
      </c>
      <c r="AE53" s="111">
        <v>5</v>
      </c>
      <c r="AF53" s="111">
        <v>5</v>
      </c>
      <c r="AG53" s="111">
        <v>5</v>
      </c>
      <c r="AH53" s="111">
        <v>5</v>
      </c>
      <c r="AI53" s="111">
        <v>5</v>
      </c>
      <c r="AJ53" s="111">
        <v>5</v>
      </c>
      <c r="AK53" s="111">
        <v>5</v>
      </c>
      <c r="AL53" s="111">
        <v>5</v>
      </c>
      <c r="AM53" s="111">
        <v>5</v>
      </c>
      <c r="AN53" s="111">
        <v>5</v>
      </c>
      <c r="AO53" s="111">
        <v>5</v>
      </c>
      <c r="AP53" s="111">
        <v>5</v>
      </c>
      <c r="AQ53" s="111">
        <v>6</v>
      </c>
      <c r="AR53" s="111">
        <v>5</v>
      </c>
      <c r="AS53" s="111">
        <v>5</v>
      </c>
      <c r="AT53" s="111">
        <v>5</v>
      </c>
      <c r="AU53" s="111">
        <v>5</v>
      </c>
      <c r="AV53" s="50" t="s">
        <v>202</v>
      </c>
      <c r="AW53" s="50" t="s">
        <v>201</v>
      </c>
      <c r="AX53" s="50" t="s">
        <v>201</v>
      </c>
      <c r="AY53" s="50" t="s">
        <v>199</v>
      </c>
      <c r="AZ53" s="50" t="s">
        <v>202</v>
      </c>
      <c r="BA53" s="50" t="s">
        <v>199</v>
      </c>
      <c r="BB53" s="50" t="s">
        <v>202</v>
      </c>
      <c r="BC53" s="50" t="s">
        <v>202</v>
      </c>
      <c r="BD53" s="50" t="s">
        <v>202</v>
      </c>
      <c r="BE53" s="50" t="s">
        <v>199</v>
      </c>
      <c r="BF53" s="50" t="s">
        <v>199</v>
      </c>
      <c r="BG53" s="50" t="s">
        <v>202</v>
      </c>
      <c r="BH53" s="50" t="s">
        <v>200</v>
      </c>
      <c r="BI53" s="50" t="s">
        <v>202</v>
      </c>
      <c r="BJ53" s="50" t="s">
        <v>199</v>
      </c>
      <c r="BK53" s="50" t="s">
        <v>202</v>
      </c>
      <c r="BL53" s="50" t="s">
        <v>202</v>
      </c>
      <c r="BM53" s="50" t="s">
        <v>436</v>
      </c>
      <c r="BN53" s="50" t="s">
        <v>389</v>
      </c>
      <c r="BO53" s="50" t="s">
        <v>91</v>
      </c>
      <c r="BP53" s="50" t="s">
        <v>286</v>
      </c>
      <c r="BQ53" s="50" t="s">
        <v>287</v>
      </c>
      <c r="BR53" s="50" t="s">
        <v>372</v>
      </c>
      <c r="BS53" s="111">
        <v>5</v>
      </c>
      <c r="BT53" s="50" t="s">
        <v>286</v>
      </c>
      <c r="BU53" s="50" t="s">
        <v>348</v>
      </c>
      <c r="BV53" s="50" t="s">
        <v>288</v>
      </c>
      <c r="BW53" s="50" t="s">
        <v>350</v>
      </c>
      <c r="BX53" s="50" t="s">
        <v>387</v>
      </c>
      <c r="BY53" s="50" t="s">
        <v>288</v>
      </c>
      <c r="BZ53" s="50" t="s">
        <v>287</v>
      </c>
      <c r="CA53" s="50"/>
      <c r="CB53" s="50" t="s">
        <v>287</v>
      </c>
      <c r="CC53" s="50" t="s">
        <v>287</v>
      </c>
      <c r="CD53" s="50" t="s">
        <v>287</v>
      </c>
      <c r="CE53" s="50"/>
      <c r="CF53" s="50" t="s">
        <v>287</v>
      </c>
      <c r="CG53" s="50" t="s">
        <v>287</v>
      </c>
      <c r="CH53" s="50" t="s">
        <v>486</v>
      </c>
      <c r="CI53" s="50" t="s">
        <v>287</v>
      </c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1:97" ht="36.75" customHeight="1" thickBot="1">
      <c r="A54" s="49">
        <v>46084.430960648147</v>
      </c>
      <c r="B54" s="50" t="s">
        <v>35</v>
      </c>
      <c r="C54" s="50" t="s">
        <v>46</v>
      </c>
      <c r="D54" s="50" t="s">
        <v>374</v>
      </c>
      <c r="E54" s="50" t="s">
        <v>61</v>
      </c>
      <c r="F54" s="50" t="s">
        <v>286</v>
      </c>
      <c r="G54" s="50" t="s">
        <v>73</v>
      </c>
      <c r="H54" s="50" t="s">
        <v>349</v>
      </c>
      <c r="I54" s="50" t="s">
        <v>91</v>
      </c>
      <c r="J54" s="50" t="s">
        <v>286</v>
      </c>
      <c r="K54" s="50" t="s">
        <v>291</v>
      </c>
      <c r="L54" s="50" t="s">
        <v>286</v>
      </c>
      <c r="M54" s="50" t="s">
        <v>334</v>
      </c>
      <c r="N54" s="111">
        <v>5</v>
      </c>
      <c r="O54" s="111">
        <v>5</v>
      </c>
      <c r="P54" s="111">
        <v>5</v>
      </c>
      <c r="Q54" s="111">
        <v>5</v>
      </c>
      <c r="R54" s="111">
        <v>5</v>
      </c>
      <c r="S54" s="111">
        <v>6</v>
      </c>
      <c r="T54" s="111">
        <v>5</v>
      </c>
      <c r="U54" s="111">
        <v>5</v>
      </c>
      <c r="V54" s="111">
        <v>6</v>
      </c>
      <c r="W54" s="111">
        <v>6</v>
      </c>
      <c r="X54" s="111">
        <v>5</v>
      </c>
      <c r="Y54" s="111">
        <v>5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5</v>
      </c>
      <c r="AF54" s="111">
        <v>5</v>
      </c>
      <c r="AG54" s="111">
        <v>5</v>
      </c>
      <c r="AH54" s="111">
        <v>5</v>
      </c>
      <c r="AI54" s="111">
        <v>5</v>
      </c>
      <c r="AJ54" s="111">
        <v>5</v>
      </c>
      <c r="AK54" s="111">
        <v>5</v>
      </c>
      <c r="AL54" s="111">
        <v>5</v>
      </c>
      <c r="AM54" s="111">
        <v>5</v>
      </c>
      <c r="AN54" s="111">
        <v>5</v>
      </c>
      <c r="AO54" s="111">
        <v>5</v>
      </c>
      <c r="AP54" s="111">
        <v>5</v>
      </c>
      <c r="AQ54" s="111">
        <v>6</v>
      </c>
      <c r="AR54" s="111">
        <v>6</v>
      </c>
      <c r="AS54" s="111">
        <v>5</v>
      </c>
      <c r="AT54" s="111">
        <v>5</v>
      </c>
      <c r="AU54" s="111">
        <v>6</v>
      </c>
      <c r="AV54" s="50" t="s">
        <v>202</v>
      </c>
      <c r="AW54" s="50" t="s">
        <v>199</v>
      </c>
      <c r="AX54" s="50" t="s">
        <v>201</v>
      </c>
      <c r="AY54" s="50" t="s">
        <v>199</v>
      </c>
      <c r="AZ54" s="50" t="s">
        <v>202</v>
      </c>
      <c r="BA54" s="50" t="s">
        <v>199</v>
      </c>
      <c r="BB54" s="50" t="s">
        <v>202</v>
      </c>
      <c r="BC54" s="50" t="s">
        <v>202</v>
      </c>
      <c r="BD54" s="50" t="s">
        <v>202</v>
      </c>
      <c r="BE54" s="50" t="s">
        <v>200</v>
      </c>
      <c r="BF54" s="50" t="s">
        <v>201</v>
      </c>
      <c r="BG54" s="50" t="s">
        <v>202</v>
      </c>
      <c r="BH54" s="50" t="s">
        <v>199</v>
      </c>
      <c r="BI54" s="50" t="s">
        <v>202</v>
      </c>
      <c r="BJ54" s="50" t="s">
        <v>201</v>
      </c>
      <c r="BK54" s="50" t="s">
        <v>202</v>
      </c>
      <c r="BL54" s="50" t="s">
        <v>202</v>
      </c>
      <c r="BM54" s="50" t="s">
        <v>436</v>
      </c>
      <c r="BN54" s="50" t="s">
        <v>318</v>
      </c>
      <c r="BO54" s="50" t="s">
        <v>91</v>
      </c>
      <c r="BP54" s="50"/>
      <c r="BQ54" s="50" t="s">
        <v>287</v>
      </c>
      <c r="BR54" s="50" t="s">
        <v>447</v>
      </c>
      <c r="BS54" s="111">
        <v>5</v>
      </c>
      <c r="BT54" s="50" t="s">
        <v>286</v>
      </c>
      <c r="BU54" s="50" t="s">
        <v>348</v>
      </c>
      <c r="BV54" s="50" t="s">
        <v>288</v>
      </c>
      <c r="BW54" s="50" t="s">
        <v>350</v>
      </c>
      <c r="BX54" s="50" t="s">
        <v>387</v>
      </c>
      <c r="BY54" s="50" t="s">
        <v>288</v>
      </c>
      <c r="BZ54" s="50" t="s">
        <v>287</v>
      </c>
      <c r="CA54" s="50"/>
      <c r="CB54" s="50" t="s">
        <v>287</v>
      </c>
      <c r="CC54" s="50" t="s">
        <v>287</v>
      </c>
      <c r="CD54" s="50" t="s">
        <v>91</v>
      </c>
      <c r="CE54" s="50"/>
      <c r="CF54" s="50" t="s">
        <v>287</v>
      </c>
      <c r="CG54" s="50" t="s">
        <v>287</v>
      </c>
      <c r="CH54" s="50" t="s">
        <v>486</v>
      </c>
      <c r="CI54" s="50" t="s">
        <v>287</v>
      </c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1:97" ht="36.75" customHeight="1" thickBot="1">
      <c r="A55" s="49">
        <v>46084.436099537037</v>
      </c>
      <c r="B55" s="50" t="s">
        <v>40</v>
      </c>
      <c r="C55" s="50" t="s">
        <v>46</v>
      </c>
      <c r="D55" s="50" t="s">
        <v>369</v>
      </c>
      <c r="E55" s="50" t="s">
        <v>285</v>
      </c>
      <c r="F55" s="50" t="s">
        <v>286</v>
      </c>
      <c r="G55" s="50" t="s">
        <v>73</v>
      </c>
      <c r="H55" s="50" t="s">
        <v>349</v>
      </c>
      <c r="I55" s="50" t="s">
        <v>81</v>
      </c>
      <c r="J55" s="50" t="s">
        <v>286</v>
      </c>
      <c r="K55" s="50" t="s">
        <v>291</v>
      </c>
      <c r="L55" s="50" t="s">
        <v>379</v>
      </c>
      <c r="M55" s="50" t="s">
        <v>334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6</v>
      </c>
      <c r="T55" s="111">
        <v>5</v>
      </c>
      <c r="U55" s="111">
        <v>5</v>
      </c>
      <c r="V55" s="111">
        <v>6</v>
      </c>
      <c r="W55" s="111">
        <v>6</v>
      </c>
      <c r="X55" s="111">
        <v>5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5</v>
      </c>
      <c r="AH55" s="111">
        <v>5</v>
      </c>
      <c r="AI55" s="111">
        <v>5</v>
      </c>
      <c r="AJ55" s="111">
        <v>5</v>
      </c>
      <c r="AK55" s="111">
        <v>5</v>
      </c>
      <c r="AL55" s="111">
        <v>5</v>
      </c>
      <c r="AM55" s="111">
        <v>5</v>
      </c>
      <c r="AN55" s="111">
        <v>5</v>
      </c>
      <c r="AO55" s="111">
        <v>5</v>
      </c>
      <c r="AP55" s="111">
        <v>5</v>
      </c>
      <c r="AQ55" s="111">
        <v>6</v>
      </c>
      <c r="AR55" s="111">
        <v>5</v>
      </c>
      <c r="AS55" s="111">
        <v>5</v>
      </c>
      <c r="AT55" s="111">
        <v>5</v>
      </c>
      <c r="AU55" s="111">
        <v>5</v>
      </c>
      <c r="AV55" s="50" t="s">
        <v>202</v>
      </c>
      <c r="AW55" s="50" t="s">
        <v>199</v>
      </c>
      <c r="AX55" s="50" t="s">
        <v>201</v>
      </c>
      <c r="AY55" s="50" t="s">
        <v>199</v>
      </c>
      <c r="AZ55" s="50" t="s">
        <v>202</v>
      </c>
      <c r="BA55" s="50" t="s">
        <v>199</v>
      </c>
      <c r="BB55" s="50" t="s">
        <v>202</v>
      </c>
      <c r="BC55" s="50" t="s">
        <v>202</v>
      </c>
      <c r="BD55" s="50" t="s">
        <v>202</v>
      </c>
      <c r="BE55" s="50" t="s">
        <v>200</v>
      </c>
      <c r="BF55" s="50" t="s">
        <v>201</v>
      </c>
      <c r="BG55" s="50" t="s">
        <v>202</v>
      </c>
      <c r="BH55" s="50" t="s">
        <v>201</v>
      </c>
      <c r="BI55" s="50" t="s">
        <v>202</v>
      </c>
      <c r="BJ55" s="50" t="s">
        <v>199</v>
      </c>
      <c r="BK55" s="50" t="s">
        <v>202</v>
      </c>
      <c r="BL55" s="50" t="s">
        <v>202</v>
      </c>
      <c r="BM55" s="50" t="s">
        <v>436</v>
      </c>
      <c r="BN55" s="50" t="s">
        <v>460</v>
      </c>
      <c r="BO55" s="50" t="s">
        <v>91</v>
      </c>
      <c r="BP55" s="50" t="s">
        <v>286</v>
      </c>
      <c r="BQ55" s="50" t="s">
        <v>287</v>
      </c>
      <c r="BR55" s="50" t="s">
        <v>372</v>
      </c>
      <c r="BS55" s="111">
        <v>5</v>
      </c>
      <c r="BT55" s="50" t="s">
        <v>286</v>
      </c>
      <c r="BU55" s="50" t="s">
        <v>348</v>
      </c>
      <c r="BV55" s="50" t="s">
        <v>288</v>
      </c>
      <c r="BW55" s="50" t="s">
        <v>350</v>
      </c>
      <c r="BX55" s="50" t="s">
        <v>387</v>
      </c>
      <c r="BY55" s="50" t="s">
        <v>288</v>
      </c>
      <c r="BZ55" s="50" t="s">
        <v>287</v>
      </c>
      <c r="CA55" s="50"/>
      <c r="CB55" s="50" t="s">
        <v>287</v>
      </c>
      <c r="CC55" s="50" t="s">
        <v>287</v>
      </c>
      <c r="CD55" s="50" t="s">
        <v>287</v>
      </c>
      <c r="CE55" s="50"/>
      <c r="CF55" s="50" t="s">
        <v>287</v>
      </c>
      <c r="CG55" s="50" t="s">
        <v>287</v>
      </c>
      <c r="CH55" s="50" t="s">
        <v>486</v>
      </c>
      <c r="CI55" s="50" t="s">
        <v>287</v>
      </c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97" ht="36.75" customHeight="1" thickBot="1">
      <c r="A56" s="49">
        <v>46084.439733796295</v>
      </c>
      <c r="B56" s="50" t="s">
        <v>39</v>
      </c>
      <c r="C56" s="50" t="s">
        <v>45</v>
      </c>
      <c r="D56" s="50" t="s">
        <v>374</v>
      </c>
      <c r="E56" s="50" t="s">
        <v>61</v>
      </c>
      <c r="F56" s="50" t="s">
        <v>286</v>
      </c>
      <c r="G56" s="50" t="s">
        <v>73</v>
      </c>
      <c r="H56" s="50" t="s">
        <v>420</v>
      </c>
      <c r="I56" s="50" t="s">
        <v>92</v>
      </c>
      <c r="J56" s="50" t="s">
        <v>286</v>
      </c>
      <c r="K56" s="50" t="s">
        <v>287</v>
      </c>
      <c r="L56" s="50" t="s">
        <v>471</v>
      </c>
      <c r="M56" s="50" t="s">
        <v>319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5</v>
      </c>
      <c r="Y56" s="111">
        <v>5</v>
      </c>
      <c r="Z56" s="111">
        <v>5</v>
      </c>
      <c r="AA56" s="111">
        <v>5</v>
      </c>
      <c r="AB56" s="111">
        <v>5</v>
      </c>
      <c r="AC56" s="111">
        <v>5</v>
      </c>
      <c r="AD56" s="111">
        <v>5</v>
      </c>
      <c r="AE56" s="111">
        <v>5</v>
      </c>
      <c r="AF56" s="111">
        <v>5</v>
      </c>
      <c r="AG56" s="111">
        <v>5</v>
      </c>
      <c r="AH56" s="111">
        <v>5</v>
      </c>
      <c r="AI56" s="111">
        <v>5</v>
      </c>
      <c r="AJ56" s="111">
        <v>5</v>
      </c>
      <c r="AK56" s="111">
        <v>5</v>
      </c>
      <c r="AL56" s="111">
        <v>5</v>
      </c>
      <c r="AM56" s="111">
        <v>5</v>
      </c>
      <c r="AN56" s="111">
        <v>5</v>
      </c>
      <c r="AO56" s="111">
        <v>5</v>
      </c>
      <c r="AP56" s="111">
        <v>5</v>
      </c>
      <c r="AQ56" s="111">
        <v>5</v>
      </c>
      <c r="AR56" s="111">
        <v>5</v>
      </c>
      <c r="AS56" s="111">
        <v>5</v>
      </c>
      <c r="AT56" s="111">
        <v>5</v>
      </c>
      <c r="AU56" s="111">
        <v>5</v>
      </c>
      <c r="AV56" s="50" t="s">
        <v>199</v>
      </c>
      <c r="AW56" s="50" t="s">
        <v>199</v>
      </c>
      <c r="AX56" s="50" t="s">
        <v>199</v>
      </c>
      <c r="AY56" s="50" t="s">
        <v>200</v>
      </c>
      <c r="AZ56" s="50" t="s">
        <v>200</v>
      </c>
      <c r="BA56" s="50" t="s">
        <v>200</v>
      </c>
      <c r="BB56" s="50" t="s">
        <v>200</v>
      </c>
      <c r="BC56" s="50" t="s">
        <v>200</v>
      </c>
      <c r="BD56" s="50" t="s">
        <v>200</v>
      </c>
      <c r="BE56" s="50" t="s">
        <v>200</v>
      </c>
      <c r="BF56" s="50" t="s">
        <v>200</v>
      </c>
      <c r="BG56" s="50" t="s">
        <v>200</v>
      </c>
      <c r="BH56" s="50" t="s">
        <v>200</v>
      </c>
      <c r="BI56" s="50" t="s">
        <v>200</v>
      </c>
      <c r="BJ56" s="50" t="s">
        <v>200</v>
      </c>
      <c r="BK56" s="50" t="s">
        <v>200</v>
      </c>
      <c r="BL56" s="50" t="s">
        <v>200</v>
      </c>
      <c r="BM56" s="50" t="s">
        <v>436</v>
      </c>
      <c r="BN56" s="50" t="s">
        <v>411</v>
      </c>
      <c r="BO56" s="50" t="s">
        <v>91</v>
      </c>
      <c r="BP56" s="50" t="s">
        <v>286</v>
      </c>
      <c r="BQ56" s="50" t="s">
        <v>287</v>
      </c>
      <c r="BR56" s="50" t="s">
        <v>403</v>
      </c>
      <c r="BS56" s="111">
        <v>5</v>
      </c>
      <c r="BT56" s="50" t="s">
        <v>286</v>
      </c>
      <c r="BU56" s="50" t="s">
        <v>312</v>
      </c>
      <c r="BV56" s="50" t="s">
        <v>288</v>
      </c>
      <c r="BW56" s="50" t="s">
        <v>289</v>
      </c>
      <c r="BX56" s="50" t="s">
        <v>300</v>
      </c>
      <c r="BY56" s="50" t="s">
        <v>288</v>
      </c>
      <c r="BZ56" s="50" t="s">
        <v>287</v>
      </c>
      <c r="CA56" s="50"/>
      <c r="CB56" s="50" t="s">
        <v>287</v>
      </c>
      <c r="CC56" s="50" t="s">
        <v>287</v>
      </c>
      <c r="CD56" s="50" t="s">
        <v>287</v>
      </c>
      <c r="CE56" s="50"/>
      <c r="CF56" s="50" t="s">
        <v>287</v>
      </c>
      <c r="CG56" s="50" t="s">
        <v>287</v>
      </c>
      <c r="CH56" s="50" t="s">
        <v>486</v>
      </c>
      <c r="CI56" s="50" t="s">
        <v>287</v>
      </c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1:97" ht="36.75" customHeight="1" thickBot="1">
      <c r="A57" s="49">
        <v>46084.444282407407</v>
      </c>
      <c r="B57" s="50" t="s">
        <v>40</v>
      </c>
      <c r="C57" s="50" t="s">
        <v>46</v>
      </c>
      <c r="D57" s="50" t="s">
        <v>374</v>
      </c>
      <c r="E57" s="50" t="s">
        <v>61</v>
      </c>
      <c r="F57" s="50" t="s">
        <v>286</v>
      </c>
      <c r="G57" s="50" t="s">
        <v>73</v>
      </c>
      <c r="H57" s="50" t="s">
        <v>474</v>
      </c>
      <c r="I57" s="50" t="s">
        <v>81</v>
      </c>
      <c r="J57" s="50" t="s">
        <v>286</v>
      </c>
      <c r="K57" s="50" t="s">
        <v>287</v>
      </c>
      <c r="L57" s="50" t="s">
        <v>336</v>
      </c>
      <c r="M57" s="50" t="s">
        <v>319</v>
      </c>
      <c r="N57" s="111">
        <v>5</v>
      </c>
      <c r="O57" s="111">
        <v>5</v>
      </c>
      <c r="P57" s="111">
        <v>5</v>
      </c>
      <c r="Q57" s="111">
        <v>5</v>
      </c>
      <c r="R57" s="111">
        <v>5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5</v>
      </c>
      <c r="Y57" s="111">
        <v>5</v>
      </c>
      <c r="Z57" s="111">
        <v>5</v>
      </c>
      <c r="AA57" s="111">
        <v>5</v>
      </c>
      <c r="AB57" s="111">
        <v>5</v>
      </c>
      <c r="AC57" s="111">
        <v>5</v>
      </c>
      <c r="AD57" s="111">
        <v>5</v>
      </c>
      <c r="AE57" s="111">
        <v>5</v>
      </c>
      <c r="AF57" s="111">
        <v>5</v>
      </c>
      <c r="AG57" s="111">
        <v>5</v>
      </c>
      <c r="AH57" s="111">
        <v>5</v>
      </c>
      <c r="AI57" s="111">
        <v>5</v>
      </c>
      <c r="AJ57" s="111">
        <v>5</v>
      </c>
      <c r="AK57" s="111">
        <v>5</v>
      </c>
      <c r="AL57" s="111">
        <v>5</v>
      </c>
      <c r="AM57" s="111">
        <v>5</v>
      </c>
      <c r="AN57" s="111">
        <v>5</v>
      </c>
      <c r="AO57" s="111">
        <v>5</v>
      </c>
      <c r="AP57" s="111">
        <v>5</v>
      </c>
      <c r="AQ57" s="111">
        <v>5</v>
      </c>
      <c r="AR57" s="111">
        <v>5</v>
      </c>
      <c r="AS57" s="111">
        <v>5</v>
      </c>
      <c r="AT57" s="111">
        <v>5</v>
      </c>
      <c r="AU57" s="111">
        <v>5</v>
      </c>
      <c r="AV57" s="50" t="s">
        <v>199</v>
      </c>
      <c r="AW57" s="50" t="s">
        <v>199</v>
      </c>
      <c r="AX57" s="50" t="s">
        <v>199</v>
      </c>
      <c r="AY57" s="50" t="s">
        <v>200</v>
      </c>
      <c r="AZ57" s="50" t="s">
        <v>200</v>
      </c>
      <c r="BA57" s="50" t="s">
        <v>200</v>
      </c>
      <c r="BB57" s="50" t="s">
        <v>200</v>
      </c>
      <c r="BC57" s="50" t="s">
        <v>200</v>
      </c>
      <c r="BD57" s="50" t="s">
        <v>200</v>
      </c>
      <c r="BE57" s="50" t="s">
        <v>200</v>
      </c>
      <c r="BF57" s="50" t="s">
        <v>200</v>
      </c>
      <c r="BG57" s="50" t="s">
        <v>200</v>
      </c>
      <c r="BH57" s="50" t="s">
        <v>200</v>
      </c>
      <c r="BI57" s="50" t="s">
        <v>200</v>
      </c>
      <c r="BJ57" s="50" t="s">
        <v>200</v>
      </c>
      <c r="BK57" s="50" t="s">
        <v>200</v>
      </c>
      <c r="BL57" s="50" t="s">
        <v>200</v>
      </c>
      <c r="BM57" s="50" t="s">
        <v>436</v>
      </c>
      <c r="BN57" s="50" t="s">
        <v>318</v>
      </c>
      <c r="BO57" s="50" t="s">
        <v>91</v>
      </c>
      <c r="BP57" s="50" t="s">
        <v>286</v>
      </c>
      <c r="BQ57" s="50" t="s">
        <v>287</v>
      </c>
      <c r="BR57" s="50" t="s">
        <v>403</v>
      </c>
      <c r="BS57" s="111">
        <v>5</v>
      </c>
      <c r="BT57" s="50" t="s">
        <v>286</v>
      </c>
      <c r="BU57" s="50" t="s">
        <v>312</v>
      </c>
      <c r="BV57" s="50" t="s">
        <v>288</v>
      </c>
      <c r="BW57" s="50" t="s">
        <v>293</v>
      </c>
      <c r="BX57" s="50" t="s">
        <v>296</v>
      </c>
      <c r="BY57" s="50" t="s">
        <v>288</v>
      </c>
      <c r="BZ57" s="50" t="s">
        <v>287</v>
      </c>
      <c r="CA57" s="50"/>
      <c r="CB57" s="50" t="s">
        <v>287</v>
      </c>
      <c r="CC57" s="50" t="s">
        <v>287</v>
      </c>
      <c r="CD57" s="50" t="s">
        <v>287</v>
      </c>
      <c r="CE57" s="50"/>
      <c r="CF57" s="50" t="s">
        <v>287</v>
      </c>
      <c r="CG57" s="50" t="s">
        <v>287</v>
      </c>
      <c r="CH57" s="50" t="s">
        <v>486</v>
      </c>
      <c r="CI57" s="50" t="s">
        <v>287</v>
      </c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1:97" ht="36.75" customHeight="1" thickBot="1">
      <c r="A58" s="49">
        <v>46084.44458333333</v>
      </c>
      <c r="B58" s="50" t="s">
        <v>38</v>
      </c>
      <c r="C58" s="50" t="s">
        <v>45</v>
      </c>
      <c r="D58" s="50" t="s">
        <v>369</v>
      </c>
      <c r="E58" s="50" t="s">
        <v>61</v>
      </c>
      <c r="F58" s="50" t="s">
        <v>286</v>
      </c>
      <c r="G58" s="50" t="s">
        <v>73</v>
      </c>
      <c r="H58" s="50" t="s">
        <v>325</v>
      </c>
      <c r="I58" s="50" t="s">
        <v>91</v>
      </c>
      <c r="J58" s="50" t="s">
        <v>286</v>
      </c>
      <c r="K58" s="50" t="s">
        <v>291</v>
      </c>
      <c r="L58" s="50" t="s">
        <v>286</v>
      </c>
      <c r="M58" s="50" t="s">
        <v>334</v>
      </c>
      <c r="N58" s="111">
        <v>5</v>
      </c>
      <c r="O58" s="111">
        <v>5</v>
      </c>
      <c r="P58" s="111">
        <v>5</v>
      </c>
      <c r="Q58" s="111">
        <v>5</v>
      </c>
      <c r="R58" s="111">
        <v>5</v>
      </c>
      <c r="S58" s="111">
        <v>6</v>
      </c>
      <c r="T58" s="111">
        <v>4</v>
      </c>
      <c r="U58" s="111">
        <v>5</v>
      </c>
      <c r="V58" s="111">
        <v>6</v>
      </c>
      <c r="W58" s="111">
        <v>6</v>
      </c>
      <c r="X58" s="111">
        <v>5</v>
      </c>
      <c r="Y58" s="111">
        <v>5</v>
      </c>
      <c r="Z58" s="111">
        <v>5</v>
      </c>
      <c r="AA58" s="111">
        <v>5</v>
      </c>
      <c r="AB58" s="111">
        <v>5</v>
      </c>
      <c r="AC58" s="111">
        <v>5</v>
      </c>
      <c r="AD58" s="111">
        <v>5</v>
      </c>
      <c r="AE58" s="111">
        <v>5</v>
      </c>
      <c r="AF58" s="111">
        <v>5</v>
      </c>
      <c r="AG58" s="111">
        <v>5</v>
      </c>
      <c r="AH58" s="111">
        <v>5</v>
      </c>
      <c r="AI58" s="111">
        <v>5</v>
      </c>
      <c r="AJ58" s="111">
        <v>5</v>
      </c>
      <c r="AK58" s="111">
        <v>3</v>
      </c>
      <c r="AL58" s="111">
        <v>5</v>
      </c>
      <c r="AM58" s="111">
        <v>5</v>
      </c>
      <c r="AN58" s="111">
        <v>5</v>
      </c>
      <c r="AO58" s="111">
        <v>5</v>
      </c>
      <c r="AP58" s="111">
        <v>5</v>
      </c>
      <c r="AQ58" s="111">
        <v>6</v>
      </c>
      <c r="AR58" s="111">
        <v>5</v>
      </c>
      <c r="AS58" s="111">
        <v>5</v>
      </c>
      <c r="AT58" s="111">
        <v>5</v>
      </c>
      <c r="AU58" s="111">
        <v>5</v>
      </c>
      <c r="AV58" s="50" t="s">
        <v>202</v>
      </c>
      <c r="AW58" s="50" t="s">
        <v>200</v>
      </c>
      <c r="AX58" s="50" t="s">
        <v>201</v>
      </c>
      <c r="AY58" s="50" t="s">
        <v>199</v>
      </c>
      <c r="AZ58" s="50" t="s">
        <v>202</v>
      </c>
      <c r="BA58" s="50" t="s">
        <v>199</v>
      </c>
      <c r="BB58" s="50" t="s">
        <v>202</v>
      </c>
      <c r="BC58" s="50" t="s">
        <v>202</v>
      </c>
      <c r="BD58" s="50" t="s">
        <v>202</v>
      </c>
      <c r="BE58" s="50" t="s">
        <v>200</v>
      </c>
      <c r="BF58" s="50" t="s">
        <v>201</v>
      </c>
      <c r="BG58" s="50" t="s">
        <v>202</v>
      </c>
      <c r="BH58" s="50" t="s">
        <v>201</v>
      </c>
      <c r="BI58" s="50" t="s">
        <v>202</v>
      </c>
      <c r="BJ58" s="50" t="s">
        <v>199</v>
      </c>
      <c r="BK58" s="50" t="s">
        <v>202</v>
      </c>
      <c r="BL58" s="50" t="s">
        <v>202</v>
      </c>
      <c r="BM58" s="50" t="s">
        <v>436</v>
      </c>
      <c r="BN58" s="50" t="s">
        <v>480</v>
      </c>
      <c r="BO58" s="50" t="s">
        <v>91</v>
      </c>
      <c r="BP58" s="50" t="s">
        <v>286</v>
      </c>
      <c r="BQ58" s="50" t="s">
        <v>287</v>
      </c>
      <c r="BR58" s="50" t="s">
        <v>448</v>
      </c>
      <c r="BS58" s="111">
        <v>5</v>
      </c>
      <c r="BT58" s="50" t="s">
        <v>286</v>
      </c>
      <c r="BU58" s="50" t="s">
        <v>348</v>
      </c>
      <c r="BV58" s="50" t="s">
        <v>288</v>
      </c>
      <c r="BW58" s="50" t="s">
        <v>350</v>
      </c>
      <c r="BX58" s="50" t="s">
        <v>294</v>
      </c>
      <c r="BY58" s="50" t="s">
        <v>288</v>
      </c>
      <c r="BZ58" s="50" t="s">
        <v>287</v>
      </c>
      <c r="CA58" s="50"/>
      <c r="CB58" s="50" t="s">
        <v>287</v>
      </c>
      <c r="CC58" s="50" t="s">
        <v>287</v>
      </c>
      <c r="CD58" s="50" t="s">
        <v>287</v>
      </c>
      <c r="CE58" s="50"/>
      <c r="CF58" s="50" t="s">
        <v>287</v>
      </c>
      <c r="CG58" s="50" t="s">
        <v>287</v>
      </c>
      <c r="CH58" s="50" t="s">
        <v>486</v>
      </c>
      <c r="CI58" s="50" t="s">
        <v>287</v>
      </c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1:97" ht="36.75" customHeight="1" thickBot="1">
      <c r="A59" s="49">
        <v>46084.447557870371</v>
      </c>
      <c r="B59" s="50" t="s">
        <v>40</v>
      </c>
      <c r="C59" s="50" t="s">
        <v>45</v>
      </c>
      <c r="D59" s="50" t="s">
        <v>369</v>
      </c>
      <c r="E59" s="50" t="s">
        <v>285</v>
      </c>
      <c r="F59" s="50" t="s">
        <v>286</v>
      </c>
      <c r="G59" s="50" t="s">
        <v>73</v>
      </c>
      <c r="H59" s="50" t="s">
        <v>307</v>
      </c>
      <c r="I59" s="50" t="s">
        <v>81</v>
      </c>
      <c r="J59" s="50" t="s">
        <v>286</v>
      </c>
      <c r="K59" s="50" t="s">
        <v>287</v>
      </c>
      <c r="L59" s="50" t="s">
        <v>336</v>
      </c>
      <c r="M59" s="50" t="s">
        <v>319</v>
      </c>
      <c r="N59" s="111">
        <v>5</v>
      </c>
      <c r="O59" s="111">
        <v>5</v>
      </c>
      <c r="P59" s="111">
        <v>5</v>
      </c>
      <c r="Q59" s="111">
        <v>5</v>
      </c>
      <c r="R59" s="111">
        <v>5</v>
      </c>
      <c r="S59" s="111">
        <v>5</v>
      </c>
      <c r="T59" s="111">
        <v>5</v>
      </c>
      <c r="U59" s="111">
        <v>5</v>
      </c>
      <c r="V59" s="111">
        <v>5</v>
      </c>
      <c r="W59" s="111">
        <v>5</v>
      </c>
      <c r="X59" s="111">
        <v>5</v>
      </c>
      <c r="Y59" s="111">
        <v>5</v>
      </c>
      <c r="Z59" s="111">
        <v>5</v>
      </c>
      <c r="AA59" s="111">
        <v>5</v>
      </c>
      <c r="AB59" s="111">
        <v>5</v>
      </c>
      <c r="AC59" s="111">
        <v>5</v>
      </c>
      <c r="AD59" s="111">
        <v>5</v>
      </c>
      <c r="AE59" s="111">
        <v>5</v>
      </c>
      <c r="AF59" s="111">
        <v>5</v>
      </c>
      <c r="AG59" s="111">
        <v>5</v>
      </c>
      <c r="AH59" s="111">
        <v>5</v>
      </c>
      <c r="AI59" s="111">
        <v>5</v>
      </c>
      <c r="AJ59" s="111">
        <v>5</v>
      </c>
      <c r="AK59" s="111">
        <v>5</v>
      </c>
      <c r="AL59" s="111">
        <v>5</v>
      </c>
      <c r="AM59" s="111">
        <v>5</v>
      </c>
      <c r="AN59" s="111">
        <v>5</v>
      </c>
      <c r="AO59" s="111">
        <v>5</v>
      </c>
      <c r="AP59" s="111">
        <v>5</v>
      </c>
      <c r="AQ59" s="111">
        <v>5</v>
      </c>
      <c r="AR59" s="111">
        <v>5</v>
      </c>
      <c r="AS59" s="111">
        <v>5</v>
      </c>
      <c r="AT59" s="111">
        <v>5</v>
      </c>
      <c r="AU59" s="111">
        <v>5</v>
      </c>
      <c r="AV59" s="50" t="s">
        <v>199</v>
      </c>
      <c r="AW59" s="50" t="s">
        <v>199</v>
      </c>
      <c r="AX59" s="50" t="s">
        <v>199</v>
      </c>
      <c r="AY59" s="50" t="s">
        <v>200</v>
      </c>
      <c r="AZ59" s="50" t="s">
        <v>200</v>
      </c>
      <c r="BA59" s="50" t="s">
        <v>200</v>
      </c>
      <c r="BB59" s="50" t="s">
        <v>200</v>
      </c>
      <c r="BC59" s="50" t="s">
        <v>200</v>
      </c>
      <c r="BD59" s="50" t="s">
        <v>200</v>
      </c>
      <c r="BE59" s="50" t="s">
        <v>200</v>
      </c>
      <c r="BF59" s="50" t="s">
        <v>200</v>
      </c>
      <c r="BG59" s="50" t="s">
        <v>200</v>
      </c>
      <c r="BH59" s="50" t="s">
        <v>200</v>
      </c>
      <c r="BI59" s="50" t="s">
        <v>200</v>
      </c>
      <c r="BJ59" s="50" t="s">
        <v>200</v>
      </c>
      <c r="BK59" s="50" t="s">
        <v>200</v>
      </c>
      <c r="BL59" s="50" t="s">
        <v>200</v>
      </c>
      <c r="BM59" s="50" t="s">
        <v>436</v>
      </c>
      <c r="BN59" s="50" t="s">
        <v>503</v>
      </c>
      <c r="BO59" s="50" t="s">
        <v>91</v>
      </c>
      <c r="BP59" s="50" t="s">
        <v>286</v>
      </c>
      <c r="BQ59" s="50" t="s">
        <v>287</v>
      </c>
      <c r="BR59" s="50" t="s">
        <v>403</v>
      </c>
      <c r="BS59" s="111">
        <v>5</v>
      </c>
      <c r="BT59" s="50" t="s">
        <v>286</v>
      </c>
      <c r="BU59" s="50" t="s">
        <v>312</v>
      </c>
      <c r="BV59" s="50" t="s">
        <v>288</v>
      </c>
      <c r="BW59" s="50" t="s">
        <v>303</v>
      </c>
      <c r="BX59" s="50" t="s">
        <v>296</v>
      </c>
      <c r="BY59" s="50" t="s">
        <v>288</v>
      </c>
      <c r="BZ59" s="50" t="s">
        <v>287</v>
      </c>
      <c r="CA59" s="50"/>
      <c r="CB59" s="50" t="s">
        <v>287</v>
      </c>
      <c r="CC59" s="50" t="s">
        <v>287</v>
      </c>
      <c r="CD59" s="50" t="s">
        <v>287</v>
      </c>
      <c r="CE59" s="50"/>
      <c r="CF59" s="50" t="s">
        <v>287</v>
      </c>
      <c r="CG59" s="50" t="s">
        <v>287</v>
      </c>
      <c r="CH59" s="50" t="s">
        <v>486</v>
      </c>
      <c r="CI59" s="50" t="s">
        <v>287</v>
      </c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97" ht="36.75" customHeight="1" thickBot="1">
      <c r="A60" s="49">
        <v>46084.449479166666</v>
      </c>
      <c r="B60" s="50" t="s">
        <v>40</v>
      </c>
      <c r="C60" s="50" t="s">
        <v>45</v>
      </c>
      <c r="D60" s="50" t="s">
        <v>374</v>
      </c>
      <c r="E60" s="50" t="s">
        <v>61</v>
      </c>
      <c r="F60" s="50" t="s">
        <v>286</v>
      </c>
      <c r="G60" s="50" t="s">
        <v>73</v>
      </c>
      <c r="H60" s="50" t="s">
        <v>504</v>
      </c>
      <c r="I60" s="50" t="s">
        <v>81</v>
      </c>
      <c r="J60" s="50" t="s">
        <v>286</v>
      </c>
      <c r="K60" s="50" t="s">
        <v>287</v>
      </c>
      <c r="L60" s="50" t="s">
        <v>463</v>
      </c>
      <c r="M60" s="50" t="s">
        <v>319</v>
      </c>
      <c r="N60" s="111">
        <v>5</v>
      </c>
      <c r="O60" s="111">
        <v>5</v>
      </c>
      <c r="P60" s="111">
        <v>5</v>
      </c>
      <c r="Q60" s="111">
        <v>5</v>
      </c>
      <c r="R60" s="111">
        <v>5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5</v>
      </c>
      <c r="Z60" s="111">
        <v>5</v>
      </c>
      <c r="AA60" s="111">
        <v>5</v>
      </c>
      <c r="AB60" s="111">
        <v>5</v>
      </c>
      <c r="AC60" s="111">
        <v>5</v>
      </c>
      <c r="AD60" s="111">
        <v>5</v>
      </c>
      <c r="AE60" s="111">
        <v>5</v>
      </c>
      <c r="AF60" s="111">
        <v>5</v>
      </c>
      <c r="AG60" s="111">
        <v>5</v>
      </c>
      <c r="AH60" s="111">
        <v>5</v>
      </c>
      <c r="AI60" s="111">
        <v>5</v>
      </c>
      <c r="AJ60" s="111">
        <v>5</v>
      </c>
      <c r="AK60" s="111">
        <v>5</v>
      </c>
      <c r="AL60" s="111">
        <v>5</v>
      </c>
      <c r="AM60" s="111">
        <v>5</v>
      </c>
      <c r="AN60" s="111">
        <v>5</v>
      </c>
      <c r="AO60" s="111">
        <v>5</v>
      </c>
      <c r="AP60" s="111">
        <v>5</v>
      </c>
      <c r="AQ60" s="111">
        <v>5</v>
      </c>
      <c r="AR60" s="111">
        <v>5</v>
      </c>
      <c r="AS60" s="111">
        <v>5</v>
      </c>
      <c r="AT60" s="111">
        <v>5</v>
      </c>
      <c r="AU60" s="111">
        <v>5</v>
      </c>
      <c r="AV60" s="50" t="s">
        <v>199</v>
      </c>
      <c r="AW60" s="50" t="s">
        <v>199</v>
      </c>
      <c r="AX60" s="50" t="s">
        <v>199</v>
      </c>
      <c r="AY60" s="50" t="s">
        <v>200</v>
      </c>
      <c r="AZ60" s="50" t="s">
        <v>200</v>
      </c>
      <c r="BA60" s="50" t="s">
        <v>200</v>
      </c>
      <c r="BB60" s="50" t="s">
        <v>200</v>
      </c>
      <c r="BC60" s="50" t="s">
        <v>200</v>
      </c>
      <c r="BD60" s="50" t="s">
        <v>200</v>
      </c>
      <c r="BE60" s="50" t="s">
        <v>200</v>
      </c>
      <c r="BF60" s="50" t="s">
        <v>200</v>
      </c>
      <c r="BG60" s="50" t="s">
        <v>200</v>
      </c>
      <c r="BH60" s="50" t="s">
        <v>200</v>
      </c>
      <c r="BI60" s="50" t="s">
        <v>200</v>
      </c>
      <c r="BJ60" s="50" t="s">
        <v>200</v>
      </c>
      <c r="BK60" s="50" t="s">
        <v>200</v>
      </c>
      <c r="BL60" s="50" t="s">
        <v>200</v>
      </c>
      <c r="BM60" s="50" t="s">
        <v>436</v>
      </c>
      <c r="BN60" s="50" t="s">
        <v>318</v>
      </c>
      <c r="BO60" s="50" t="s">
        <v>91</v>
      </c>
      <c r="BP60" s="50" t="s">
        <v>286</v>
      </c>
      <c r="BQ60" s="50" t="s">
        <v>287</v>
      </c>
      <c r="BR60" s="50" t="s">
        <v>403</v>
      </c>
      <c r="BS60" s="111">
        <v>5</v>
      </c>
      <c r="BT60" s="50" t="s">
        <v>286</v>
      </c>
      <c r="BU60" s="50" t="s">
        <v>312</v>
      </c>
      <c r="BV60" s="50" t="s">
        <v>288</v>
      </c>
      <c r="BW60" s="50" t="s">
        <v>293</v>
      </c>
      <c r="BX60" s="50" t="s">
        <v>290</v>
      </c>
      <c r="BY60" s="50" t="s">
        <v>288</v>
      </c>
      <c r="BZ60" s="50" t="s">
        <v>287</v>
      </c>
      <c r="CA60" s="50"/>
      <c r="CB60" s="50" t="s">
        <v>287</v>
      </c>
      <c r="CC60" s="50" t="s">
        <v>287</v>
      </c>
      <c r="CD60" s="50" t="s">
        <v>287</v>
      </c>
      <c r="CE60" s="50"/>
      <c r="CF60" s="50" t="s">
        <v>287</v>
      </c>
      <c r="CG60" s="50" t="s">
        <v>287</v>
      </c>
      <c r="CH60" s="50" t="s">
        <v>486</v>
      </c>
      <c r="CI60" s="50" t="s">
        <v>287</v>
      </c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97" ht="36.75" customHeight="1" thickBot="1">
      <c r="A61" s="49">
        <v>46084.451296296298</v>
      </c>
      <c r="B61" s="50" t="s">
        <v>40</v>
      </c>
      <c r="C61" s="50" t="s">
        <v>45</v>
      </c>
      <c r="D61" s="50" t="s">
        <v>374</v>
      </c>
      <c r="E61" s="50" t="s">
        <v>61</v>
      </c>
      <c r="F61" s="50" t="s">
        <v>286</v>
      </c>
      <c r="G61" s="50" t="s">
        <v>73</v>
      </c>
      <c r="H61" s="50" t="s">
        <v>422</v>
      </c>
      <c r="I61" s="50" t="s">
        <v>81</v>
      </c>
      <c r="J61" s="50" t="s">
        <v>286</v>
      </c>
      <c r="K61" s="50" t="s">
        <v>287</v>
      </c>
      <c r="L61" s="50" t="s">
        <v>336</v>
      </c>
      <c r="M61" s="50" t="s">
        <v>319</v>
      </c>
      <c r="N61" s="111">
        <v>5</v>
      </c>
      <c r="O61" s="111">
        <v>5</v>
      </c>
      <c r="P61" s="111">
        <v>5</v>
      </c>
      <c r="Q61" s="111">
        <v>5</v>
      </c>
      <c r="R61" s="111">
        <v>5</v>
      </c>
      <c r="S61" s="111">
        <v>5</v>
      </c>
      <c r="T61" s="111">
        <v>5</v>
      </c>
      <c r="U61" s="111">
        <v>5</v>
      </c>
      <c r="V61" s="111">
        <v>5</v>
      </c>
      <c r="W61" s="111">
        <v>5</v>
      </c>
      <c r="X61" s="111">
        <v>5</v>
      </c>
      <c r="Y61" s="111">
        <v>5</v>
      </c>
      <c r="Z61" s="111">
        <v>5</v>
      </c>
      <c r="AA61" s="111">
        <v>5</v>
      </c>
      <c r="AB61" s="111">
        <v>5</v>
      </c>
      <c r="AC61" s="111">
        <v>5</v>
      </c>
      <c r="AD61" s="111">
        <v>5</v>
      </c>
      <c r="AE61" s="111">
        <v>5</v>
      </c>
      <c r="AF61" s="111">
        <v>5</v>
      </c>
      <c r="AG61" s="111">
        <v>5</v>
      </c>
      <c r="AH61" s="111">
        <v>5</v>
      </c>
      <c r="AI61" s="111">
        <v>5</v>
      </c>
      <c r="AJ61" s="111">
        <v>5</v>
      </c>
      <c r="AK61" s="111">
        <v>5</v>
      </c>
      <c r="AL61" s="111">
        <v>5</v>
      </c>
      <c r="AM61" s="111">
        <v>5</v>
      </c>
      <c r="AN61" s="111">
        <v>5</v>
      </c>
      <c r="AO61" s="111">
        <v>5</v>
      </c>
      <c r="AP61" s="111">
        <v>5</v>
      </c>
      <c r="AQ61" s="111">
        <v>5</v>
      </c>
      <c r="AR61" s="111">
        <v>5</v>
      </c>
      <c r="AS61" s="111">
        <v>5</v>
      </c>
      <c r="AT61" s="111">
        <v>5</v>
      </c>
      <c r="AU61" s="111">
        <v>5</v>
      </c>
      <c r="AV61" s="50" t="s">
        <v>199</v>
      </c>
      <c r="AW61" s="50" t="s">
        <v>199</v>
      </c>
      <c r="AX61" s="50" t="s">
        <v>199</v>
      </c>
      <c r="AY61" s="50" t="s">
        <v>200</v>
      </c>
      <c r="AZ61" s="50" t="s">
        <v>200</v>
      </c>
      <c r="BA61" s="50" t="s">
        <v>200</v>
      </c>
      <c r="BB61" s="50" t="s">
        <v>200</v>
      </c>
      <c r="BC61" s="50" t="s">
        <v>200</v>
      </c>
      <c r="BD61" s="50" t="s">
        <v>200</v>
      </c>
      <c r="BE61" s="50" t="s">
        <v>200</v>
      </c>
      <c r="BF61" s="50" t="s">
        <v>200</v>
      </c>
      <c r="BG61" s="50" t="s">
        <v>200</v>
      </c>
      <c r="BH61" s="50" t="s">
        <v>200</v>
      </c>
      <c r="BI61" s="50" t="s">
        <v>200</v>
      </c>
      <c r="BJ61" s="50" t="s">
        <v>200</v>
      </c>
      <c r="BK61" s="50" t="s">
        <v>200</v>
      </c>
      <c r="BL61" s="50" t="s">
        <v>200</v>
      </c>
      <c r="BM61" s="50" t="s">
        <v>436</v>
      </c>
      <c r="BN61" s="50" t="s">
        <v>318</v>
      </c>
      <c r="BO61" s="50" t="s">
        <v>91</v>
      </c>
      <c r="BP61" s="50" t="s">
        <v>286</v>
      </c>
      <c r="BQ61" s="50" t="s">
        <v>287</v>
      </c>
      <c r="BR61" s="50" t="s">
        <v>403</v>
      </c>
      <c r="BS61" s="111">
        <v>5</v>
      </c>
      <c r="BT61" s="50" t="s">
        <v>286</v>
      </c>
      <c r="BU61" s="50" t="s">
        <v>312</v>
      </c>
      <c r="BV61" s="50" t="s">
        <v>288</v>
      </c>
      <c r="BW61" s="50" t="s">
        <v>297</v>
      </c>
      <c r="BX61" s="50" t="s">
        <v>296</v>
      </c>
      <c r="BY61" s="50" t="s">
        <v>288</v>
      </c>
      <c r="BZ61" s="50" t="s">
        <v>287</v>
      </c>
      <c r="CA61" s="50"/>
      <c r="CB61" s="50" t="s">
        <v>287</v>
      </c>
      <c r="CC61" s="50" t="s">
        <v>287</v>
      </c>
      <c r="CD61" s="50" t="s">
        <v>287</v>
      </c>
      <c r="CE61" s="50"/>
      <c r="CF61" s="50" t="s">
        <v>287</v>
      </c>
      <c r="CG61" s="50" t="s">
        <v>287</v>
      </c>
      <c r="CH61" s="50" t="s">
        <v>486</v>
      </c>
      <c r="CI61" s="50" t="s">
        <v>287</v>
      </c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97" ht="36.75" customHeight="1" thickBot="1">
      <c r="A62" s="49">
        <v>46084.455578703702</v>
      </c>
      <c r="B62" s="50" t="s">
        <v>40</v>
      </c>
      <c r="C62" s="50" t="s">
        <v>45</v>
      </c>
      <c r="D62" s="50" t="s">
        <v>369</v>
      </c>
      <c r="E62" s="50" t="s">
        <v>61</v>
      </c>
      <c r="F62" s="50" t="s">
        <v>286</v>
      </c>
      <c r="G62" s="50" t="s">
        <v>73</v>
      </c>
      <c r="H62" s="50" t="s">
        <v>286</v>
      </c>
      <c r="I62" s="50" t="s">
        <v>81</v>
      </c>
      <c r="J62" s="50" t="s">
        <v>286</v>
      </c>
      <c r="K62" s="50" t="s">
        <v>287</v>
      </c>
      <c r="L62" s="50" t="s">
        <v>336</v>
      </c>
      <c r="M62" s="50" t="s">
        <v>7</v>
      </c>
      <c r="N62" s="111">
        <v>5</v>
      </c>
      <c r="O62" s="111">
        <v>5</v>
      </c>
      <c r="P62" s="111">
        <v>5</v>
      </c>
      <c r="Q62" s="111">
        <v>5</v>
      </c>
      <c r="R62" s="111">
        <v>5</v>
      </c>
      <c r="S62" s="111">
        <v>5</v>
      </c>
      <c r="T62" s="111">
        <v>5</v>
      </c>
      <c r="U62" s="111">
        <v>5</v>
      </c>
      <c r="V62" s="111">
        <v>5</v>
      </c>
      <c r="W62" s="111">
        <v>5</v>
      </c>
      <c r="X62" s="111">
        <v>5</v>
      </c>
      <c r="Y62" s="111">
        <v>5</v>
      </c>
      <c r="Z62" s="111">
        <v>5</v>
      </c>
      <c r="AA62" s="111">
        <v>5</v>
      </c>
      <c r="AB62" s="111">
        <v>5</v>
      </c>
      <c r="AC62" s="111">
        <v>5</v>
      </c>
      <c r="AD62" s="111">
        <v>5</v>
      </c>
      <c r="AE62" s="111">
        <v>5</v>
      </c>
      <c r="AF62" s="111">
        <v>5</v>
      </c>
      <c r="AG62" s="111">
        <v>5</v>
      </c>
      <c r="AH62" s="111">
        <v>5</v>
      </c>
      <c r="AI62" s="111">
        <v>5</v>
      </c>
      <c r="AJ62" s="111">
        <v>5</v>
      </c>
      <c r="AK62" s="111">
        <v>5</v>
      </c>
      <c r="AL62" s="111">
        <v>5</v>
      </c>
      <c r="AM62" s="111">
        <v>5</v>
      </c>
      <c r="AN62" s="111">
        <v>5</v>
      </c>
      <c r="AO62" s="111">
        <v>5</v>
      </c>
      <c r="AP62" s="111">
        <v>5</v>
      </c>
      <c r="AQ62" s="111">
        <v>5</v>
      </c>
      <c r="AR62" s="111">
        <v>5</v>
      </c>
      <c r="AS62" s="111">
        <v>5</v>
      </c>
      <c r="AT62" s="111">
        <v>5</v>
      </c>
      <c r="AU62" s="111">
        <v>5</v>
      </c>
      <c r="AV62" s="50" t="s">
        <v>199</v>
      </c>
      <c r="AW62" s="50" t="s">
        <v>199</v>
      </c>
      <c r="AX62" s="50" t="s">
        <v>199</v>
      </c>
      <c r="AY62" s="50" t="s">
        <v>200</v>
      </c>
      <c r="AZ62" s="50" t="s">
        <v>200</v>
      </c>
      <c r="BA62" s="50" t="s">
        <v>200</v>
      </c>
      <c r="BB62" s="50" t="s">
        <v>200</v>
      </c>
      <c r="BC62" s="50" t="s">
        <v>200</v>
      </c>
      <c r="BD62" s="50" t="s">
        <v>200</v>
      </c>
      <c r="BE62" s="50" t="s">
        <v>200</v>
      </c>
      <c r="BF62" s="50" t="s">
        <v>200</v>
      </c>
      <c r="BG62" s="50" t="s">
        <v>200</v>
      </c>
      <c r="BH62" s="50" t="s">
        <v>200</v>
      </c>
      <c r="BI62" s="50" t="s">
        <v>200</v>
      </c>
      <c r="BJ62" s="50" t="s">
        <v>200</v>
      </c>
      <c r="BK62" s="50" t="s">
        <v>200</v>
      </c>
      <c r="BL62" s="50" t="s">
        <v>200</v>
      </c>
      <c r="BM62" s="50" t="s">
        <v>436</v>
      </c>
      <c r="BN62" s="50" t="s">
        <v>318</v>
      </c>
      <c r="BO62" s="50" t="s">
        <v>91</v>
      </c>
      <c r="BP62" s="50" t="s">
        <v>286</v>
      </c>
      <c r="BQ62" s="50" t="s">
        <v>287</v>
      </c>
      <c r="BR62" s="50" t="s">
        <v>382</v>
      </c>
      <c r="BS62" s="111">
        <v>4</v>
      </c>
      <c r="BT62" s="50" t="s">
        <v>286</v>
      </c>
      <c r="BU62" s="50" t="s">
        <v>312</v>
      </c>
      <c r="BV62" s="50" t="s">
        <v>288</v>
      </c>
      <c r="BW62" s="50" t="s">
        <v>303</v>
      </c>
      <c r="BX62" s="50" t="s">
        <v>290</v>
      </c>
      <c r="BY62" s="50" t="s">
        <v>288</v>
      </c>
      <c r="BZ62" s="50" t="s">
        <v>287</v>
      </c>
      <c r="CA62" s="50"/>
      <c r="CB62" s="50" t="s">
        <v>287</v>
      </c>
      <c r="CC62" s="50" t="s">
        <v>287</v>
      </c>
      <c r="CD62" s="50" t="s">
        <v>287</v>
      </c>
      <c r="CE62" s="50"/>
      <c r="CF62" s="50" t="s">
        <v>91</v>
      </c>
      <c r="CG62" s="50" t="s">
        <v>287</v>
      </c>
      <c r="CH62" s="50" t="s">
        <v>486</v>
      </c>
      <c r="CI62" s="50" t="s">
        <v>287</v>
      </c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97" ht="36.75" customHeight="1" thickBot="1">
      <c r="A63" s="49">
        <v>46084.458784722221</v>
      </c>
      <c r="B63" s="50" t="s">
        <v>40</v>
      </c>
      <c r="C63" s="50" t="s">
        <v>45</v>
      </c>
      <c r="D63" s="50" t="s">
        <v>374</v>
      </c>
      <c r="E63" s="50" t="s">
        <v>61</v>
      </c>
      <c r="F63" s="50" t="s">
        <v>286</v>
      </c>
      <c r="G63" s="50" t="s">
        <v>73</v>
      </c>
      <c r="H63" s="50" t="s">
        <v>331</v>
      </c>
      <c r="I63" s="50" t="s">
        <v>81</v>
      </c>
      <c r="J63" s="50" t="s">
        <v>286</v>
      </c>
      <c r="K63" s="50" t="s">
        <v>287</v>
      </c>
      <c r="L63" s="50" t="s">
        <v>336</v>
      </c>
      <c r="M63" s="50" t="s">
        <v>7</v>
      </c>
      <c r="N63" s="111">
        <v>5</v>
      </c>
      <c r="O63" s="111">
        <v>5</v>
      </c>
      <c r="P63" s="111">
        <v>5</v>
      </c>
      <c r="Q63" s="111">
        <v>5</v>
      </c>
      <c r="R63" s="111">
        <v>5</v>
      </c>
      <c r="S63" s="111">
        <v>5</v>
      </c>
      <c r="T63" s="111">
        <v>5</v>
      </c>
      <c r="U63" s="111">
        <v>5</v>
      </c>
      <c r="V63" s="111">
        <v>5</v>
      </c>
      <c r="W63" s="111">
        <v>5</v>
      </c>
      <c r="X63" s="111">
        <v>5</v>
      </c>
      <c r="Y63" s="111">
        <v>5</v>
      </c>
      <c r="Z63" s="111">
        <v>5</v>
      </c>
      <c r="AA63" s="111">
        <v>5</v>
      </c>
      <c r="AB63" s="111">
        <v>5</v>
      </c>
      <c r="AC63" s="111">
        <v>5</v>
      </c>
      <c r="AD63" s="111">
        <v>5</v>
      </c>
      <c r="AE63" s="111">
        <v>5</v>
      </c>
      <c r="AF63" s="111">
        <v>5</v>
      </c>
      <c r="AG63" s="111">
        <v>5</v>
      </c>
      <c r="AH63" s="111">
        <v>5</v>
      </c>
      <c r="AI63" s="111">
        <v>5</v>
      </c>
      <c r="AJ63" s="111">
        <v>5</v>
      </c>
      <c r="AK63" s="111">
        <v>5</v>
      </c>
      <c r="AL63" s="111">
        <v>5</v>
      </c>
      <c r="AM63" s="111">
        <v>5</v>
      </c>
      <c r="AN63" s="111">
        <v>5</v>
      </c>
      <c r="AO63" s="111">
        <v>5</v>
      </c>
      <c r="AP63" s="111">
        <v>5</v>
      </c>
      <c r="AQ63" s="111">
        <v>5</v>
      </c>
      <c r="AR63" s="111">
        <v>5</v>
      </c>
      <c r="AS63" s="111">
        <v>5</v>
      </c>
      <c r="AT63" s="111">
        <v>5</v>
      </c>
      <c r="AU63" s="111">
        <v>5</v>
      </c>
      <c r="AV63" s="50" t="s">
        <v>199</v>
      </c>
      <c r="AW63" s="50" t="s">
        <v>199</v>
      </c>
      <c r="AX63" s="50" t="s">
        <v>199</v>
      </c>
      <c r="AY63" s="50" t="s">
        <v>200</v>
      </c>
      <c r="AZ63" s="50" t="s">
        <v>200</v>
      </c>
      <c r="BA63" s="50" t="s">
        <v>200</v>
      </c>
      <c r="BB63" s="50" t="s">
        <v>200</v>
      </c>
      <c r="BC63" s="50" t="s">
        <v>200</v>
      </c>
      <c r="BD63" s="50" t="s">
        <v>200</v>
      </c>
      <c r="BE63" s="50" t="s">
        <v>200</v>
      </c>
      <c r="BF63" s="50" t="s">
        <v>200</v>
      </c>
      <c r="BG63" s="50" t="s">
        <v>200</v>
      </c>
      <c r="BH63" s="50" t="s">
        <v>200</v>
      </c>
      <c r="BI63" s="50" t="s">
        <v>200</v>
      </c>
      <c r="BJ63" s="50" t="s">
        <v>200</v>
      </c>
      <c r="BK63" s="50" t="s">
        <v>200</v>
      </c>
      <c r="BL63" s="50" t="s">
        <v>200</v>
      </c>
      <c r="BM63" s="50" t="s">
        <v>436</v>
      </c>
      <c r="BN63" s="50" t="s">
        <v>318</v>
      </c>
      <c r="BO63" s="50" t="s">
        <v>91</v>
      </c>
      <c r="BP63" s="50" t="s">
        <v>286</v>
      </c>
      <c r="BQ63" s="50" t="s">
        <v>287</v>
      </c>
      <c r="BR63" s="50" t="s">
        <v>382</v>
      </c>
      <c r="BS63" s="111">
        <v>4</v>
      </c>
      <c r="BT63" s="50" t="s">
        <v>286</v>
      </c>
      <c r="BU63" s="50" t="s">
        <v>312</v>
      </c>
      <c r="BV63" s="50" t="s">
        <v>288</v>
      </c>
      <c r="BW63" s="50" t="s">
        <v>297</v>
      </c>
      <c r="BX63" s="50" t="s">
        <v>290</v>
      </c>
      <c r="BY63" s="50" t="s">
        <v>288</v>
      </c>
      <c r="BZ63" s="50" t="s">
        <v>287</v>
      </c>
      <c r="CA63" s="50"/>
      <c r="CB63" s="50" t="s">
        <v>287</v>
      </c>
      <c r="CC63" s="50" t="s">
        <v>287</v>
      </c>
      <c r="CD63" s="50" t="s">
        <v>287</v>
      </c>
      <c r="CE63" s="50"/>
      <c r="CF63" s="50" t="s">
        <v>287</v>
      </c>
      <c r="CG63" s="50" t="s">
        <v>287</v>
      </c>
      <c r="CH63" s="50" t="s">
        <v>486</v>
      </c>
      <c r="CI63" s="50" t="s">
        <v>287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97" ht="36.75" customHeight="1" thickBot="1">
      <c r="A64" s="49">
        <v>46084.4608912037</v>
      </c>
      <c r="B64" s="50" t="s">
        <v>40</v>
      </c>
      <c r="C64" s="50" t="s">
        <v>45</v>
      </c>
      <c r="D64" s="50" t="s">
        <v>374</v>
      </c>
      <c r="E64" s="50" t="s">
        <v>60</v>
      </c>
      <c r="F64" s="50" t="s">
        <v>286</v>
      </c>
      <c r="G64" s="50" t="s">
        <v>73</v>
      </c>
      <c r="H64" s="50" t="s">
        <v>314</v>
      </c>
      <c r="I64" s="50" t="s">
        <v>81</v>
      </c>
      <c r="J64" s="50" t="s">
        <v>286</v>
      </c>
      <c r="K64" s="50" t="s">
        <v>287</v>
      </c>
      <c r="L64" s="50" t="s">
        <v>336</v>
      </c>
      <c r="M64" s="50" t="s">
        <v>7</v>
      </c>
      <c r="N64" s="111">
        <v>5</v>
      </c>
      <c r="O64" s="111">
        <v>5</v>
      </c>
      <c r="P64" s="111">
        <v>5</v>
      </c>
      <c r="Q64" s="111">
        <v>5</v>
      </c>
      <c r="R64" s="111">
        <v>5</v>
      </c>
      <c r="S64" s="111">
        <v>5</v>
      </c>
      <c r="T64" s="111">
        <v>5</v>
      </c>
      <c r="U64" s="111">
        <v>5</v>
      </c>
      <c r="V64" s="111">
        <v>5</v>
      </c>
      <c r="W64" s="111">
        <v>5</v>
      </c>
      <c r="X64" s="111">
        <v>5</v>
      </c>
      <c r="Y64" s="111">
        <v>5</v>
      </c>
      <c r="Z64" s="111">
        <v>5</v>
      </c>
      <c r="AA64" s="111">
        <v>5</v>
      </c>
      <c r="AB64" s="111">
        <v>5</v>
      </c>
      <c r="AC64" s="111">
        <v>5</v>
      </c>
      <c r="AD64" s="111">
        <v>5</v>
      </c>
      <c r="AE64" s="111">
        <v>5</v>
      </c>
      <c r="AF64" s="111">
        <v>5</v>
      </c>
      <c r="AG64" s="111">
        <v>5</v>
      </c>
      <c r="AH64" s="111">
        <v>5</v>
      </c>
      <c r="AI64" s="111">
        <v>5</v>
      </c>
      <c r="AJ64" s="111">
        <v>5</v>
      </c>
      <c r="AK64" s="111">
        <v>5</v>
      </c>
      <c r="AL64" s="111">
        <v>5</v>
      </c>
      <c r="AM64" s="111">
        <v>5</v>
      </c>
      <c r="AN64" s="111">
        <v>5</v>
      </c>
      <c r="AO64" s="111">
        <v>5</v>
      </c>
      <c r="AP64" s="111">
        <v>5</v>
      </c>
      <c r="AQ64" s="111">
        <v>5</v>
      </c>
      <c r="AR64" s="111">
        <v>5</v>
      </c>
      <c r="AS64" s="111">
        <v>5</v>
      </c>
      <c r="AT64" s="111">
        <v>5</v>
      </c>
      <c r="AU64" s="111">
        <v>5</v>
      </c>
      <c r="AV64" s="50" t="s">
        <v>199</v>
      </c>
      <c r="AW64" s="50" t="s">
        <v>199</v>
      </c>
      <c r="AX64" s="50" t="s">
        <v>199</v>
      </c>
      <c r="AY64" s="50" t="s">
        <v>200</v>
      </c>
      <c r="AZ64" s="50" t="s">
        <v>200</v>
      </c>
      <c r="BA64" s="50" t="s">
        <v>200</v>
      </c>
      <c r="BB64" s="50" t="s">
        <v>200</v>
      </c>
      <c r="BC64" s="50" t="s">
        <v>200</v>
      </c>
      <c r="BD64" s="50" t="s">
        <v>200</v>
      </c>
      <c r="BE64" s="50" t="s">
        <v>200</v>
      </c>
      <c r="BF64" s="50" t="s">
        <v>200</v>
      </c>
      <c r="BG64" s="50" t="s">
        <v>200</v>
      </c>
      <c r="BH64" s="50" t="s">
        <v>200</v>
      </c>
      <c r="BI64" s="50" t="s">
        <v>200</v>
      </c>
      <c r="BJ64" s="50" t="s">
        <v>200</v>
      </c>
      <c r="BK64" s="50" t="s">
        <v>200</v>
      </c>
      <c r="BL64" s="50" t="s">
        <v>200</v>
      </c>
      <c r="BM64" s="50" t="s">
        <v>436</v>
      </c>
      <c r="BN64" s="50" t="s">
        <v>318</v>
      </c>
      <c r="BO64" s="50" t="s">
        <v>91</v>
      </c>
      <c r="BP64" s="50" t="s">
        <v>286</v>
      </c>
      <c r="BQ64" s="50" t="s">
        <v>287</v>
      </c>
      <c r="BR64" s="50" t="s">
        <v>403</v>
      </c>
      <c r="BS64" s="111">
        <v>4</v>
      </c>
      <c r="BT64" s="50" t="s">
        <v>286</v>
      </c>
      <c r="BU64" s="50" t="s">
        <v>312</v>
      </c>
      <c r="BV64" s="50" t="s">
        <v>288</v>
      </c>
      <c r="BW64" s="50" t="s">
        <v>289</v>
      </c>
      <c r="BX64" s="50" t="s">
        <v>300</v>
      </c>
      <c r="BY64" s="50" t="s">
        <v>288</v>
      </c>
      <c r="BZ64" s="50" t="s">
        <v>287</v>
      </c>
      <c r="CA64" s="50"/>
      <c r="CB64" s="50" t="s">
        <v>287</v>
      </c>
      <c r="CC64" s="50" t="s">
        <v>287</v>
      </c>
      <c r="CD64" s="50" t="s">
        <v>287</v>
      </c>
      <c r="CE64" s="50"/>
      <c r="CF64" s="50" t="s">
        <v>287</v>
      </c>
      <c r="CG64" s="50" t="s">
        <v>287</v>
      </c>
      <c r="CH64" s="50" t="s">
        <v>486</v>
      </c>
      <c r="CI64" s="50" t="s">
        <v>287</v>
      </c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36.75" customHeight="1" thickBot="1">
      <c r="A65" s="49">
        <v>46084.463391203702</v>
      </c>
      <c r="B65" s="50" t="s">
        <v>40</v>
      </c>
      <c r="C65" s="50" t="s">
        <v>45</v>
      </c>
      <c r="D65" s="50" t="s">
        <v>374</v>
      </c>
      <c r="E65" s="50" t="s">
        <v>61</v>
      </c>
      <c r="F65" s="50" t="s">
        <v>286</v>
      </c>
      <c r="G65" s="50" t="s">
        <v>73</v>
      </c>
      <c r="H65" s="50" t="s">
        <v>320</v>
      </c>
      <c r="I65" s="50" t="s">
        <v>81</v>
      </c>
      <c r="J65" s="50" t="s">
        <v>286</v>
      </c>
      <c r="K65" s="50" t="s">
        <v>287</v>
      </c>
      <c r="L65" s="50" t="s">
        <v>336</v>
      </c>
      <c r="M65" s="50" t="s">
        <v>7</v>
      </c>
      <c r="N65" s="111">
        <v>5</v>
      </c>
      <c r="O65" s="111">
        <v>5</v>
      </c>
      <c r="P65" s="111">
        <v>5</v>
      </c>
      <c r="Q65" s="111">
        <v>5</v>
      </c>
      <c r="R65" s="111">
        <v>5</v>
      </c>
      <c r="S65" s="111">
        <v>5</v>
      </c>
      <c r="T65" s="111">
        <v>5</v>
      </c>
      <c r="U65" s="111">
        <v>5</v>
      </c>
      <c r="V65" s="111">
        <v>5</v>
      </c>
      <c r="W65" s="111">
        <v>5</v>
      </c>
      <c r="X65" s="111">
        <v>5</v>
      </c>
      <c r="Y65" s="111">
        <v>5</v>
      </c>
      <c r="Z65" s="111">
        <v>5</v>
      </c>
      <c r="AA65" s="111">
        <v>5</v>
      </c>
      <c r="AB65" s="111">
        <v>5</v>
      </c>
      <c r="AC65" s="111">
        <v>5</v>
      </c>
      <c r="AD65" s="111">
        <v>5</v>
      </c>
      <c r="AE65" s="111">
        <v>5</v>
      </c>
      <c r="AF65" s="111">
        <v>5</v>
      </c>
      <c r="AG65" s="111">
        <v>5</v>
      </c>
      <c r="AH65" s="111">
        <v>5</v>
      </c>
      <c r="AI65" s="111">
        <v>5</v>
      </c>
      <c r="AJ65" s="111">
        <v>5</v>
      </c>
      <c r="AK65" s="111">
        <v>5</v>
      </c>
      <c r="AL65" s="111">
        <v>5</v>
      </c>
      <c r="AM65" s="111">
        <v>5</v>
      </c>
      <c r="AN65" s="111">
        <v>5</v>
      </c>
      <c r="AO65" s="111">
        <v>5</v>
      </c>
      <c r="AP65" s="111">
        <v>5</v>
      </c>
      <c r="AQ65" s="111">
        <v>5</v>
      </c>
      <c r="AR65" s="111">
        <v>5</v>
      </c>
      <c r="AS65" s="111">
        <v>5</v>
      </c>
      <c r="AT65" s="111">
        <v>5</v>
      </c>
      <c r="AU65" s="111">
        <v>5</v>
      </c>
      <c r="AV65" s="50" t="s">
        <v>199</v>
      </c>
      <c r="AW65" s="50" t="s">
        <v>199</v>
      </c>
      <c r="AX65" s="50" t="s">
        <v>199</v>
      </c>
      <c r="AY65" s="50" t="s">
        <v>200</v>
      </c>
      <c r="AZ65" s="50" t="s">
        <v>200</v>
      </c>
      <c r="BA65" s="50" t="s">
        <v>200</v>
      </c>
      <c r="BB65" s="50" t="s">
        <v>200</v>
      </c>
      <c r="BC65" s="50" t="s">
        <v>200</v>
      </c>
      <c r="BD65" s="50" t="s">
        <v>200</v>
      </c>
      <c r="BE65" s="50" t="s">
        <v>200</v>
      </c>
      <c r="BF65" s="50" t="s">
        <v>200</v>
      </c>
      <c r="BG65" s="50" t="s">
        <v>200</v>
      </c>
      <c r="BH65" s="50" t="s">
        <v>200</v>
      </c>
      <c r="BI65" s="50" t="s">
        <v>200</v>
      </c>
      <c r="BJ65" s="50" t="s">
        <v>200</v>
      </c>
      <c r="BK65" s="50" t="s">
        <v>200</v>
      </c>
      <c r="BL65" s="50" t="s">
        <v>200</v>
      </c>
      <c r="BM65" s="50" t="s">
        <v>436</v>
      </c>
      <c r="BN65" s="50" t="s">
        <v>318</v>
      </c>
      <c r="BO65" s="50" t="s">
        <v>91</v>
      </c>
      <c r="BP65" s="50" t="s">
        <v>286</v>
      </c>
      <c r="BQ65" s="50" t="s">
        <v>219</v>
      </c>
      <c r="BR65" s="50" t="s">
        <v>414</v>
      </c>
      <c r="BS65" s="111">
        <v>4</v>
      </c>
      <c r="BT65" s="50" t="s">
        <v>286</v>
      </c>
      <c r="BU65" s="50" t="s">
        <v>312</v>
      </c>
      <c r="BV65" s="50" t="s">
        <v>288</v>
      </c>
      <c r="BW65" s="50" t="s">
        <v>297</v>
      </c>
      <c r="BX65" s="50" t="s">
        <v>290</v>
      </c>
      <c r="BY65" s="50" t="s">
        <v>288</v>
      </c>
      <c r="BZ65" s="50" t="s">
        <v>287</v>
      </c>
      <c r="CA65" s="50"/>
      <c r="CB65" s="50" t="s">
        <v>287</v>
      </c>
      <c r="CC65" s="50" t="s">
        <v>287</v>
      </c>
      <c r="CD65" s="50" t="s">
        <v>287</v>
      </c>
      <c r="CE65" s="50"/>
      <c r="CF65" s="50" t="s">
        <v>287</v>
      </c>
      <c r="CG65" s="50" t="s">
        <v>287</v>
      </c>
      <c r="CH65" s="50" t="s">
        <v>486</v>
      </c>
      <c r="CI65" s="50" t="s">
        <v>287</v>
      </c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36.75" customHeight="1" thickBot="1">
      <c r="A66" s="49">
        <v>46084.557395833333</v>
      </c>
      <c r="B66" s="50" t="s">
        <v>40</v>
      </c>
      <c r="C66" s="50" t="s">
        <v>46</v>
      </c>
      <c r="D66" s="50" t="s">
        <v>369</v>
      </c>
      <c r="E66" s="50" t="s">
        <v>61</v>
      </c>
      <c r="F66" s="50" t="s">
        <v>286</v>
      </c>
      <c r="G66" s="50" t="s">
        <v>73</v>
      </c>
      <c r="H66" s="50" t="s">
        <v>313</v>
      </c>
      <c r="I66" s="50" t="s">
        <v>81</v>
      </c>
      <c r="J66" s="50" t="s">
        <v>286</v>
      </c>
      <c r="K66" s="50" t="s">
        <v>287</v>
      </c>
      <c r="L66" s="50" t="s">
        <v>336</v>
      </c>
      <c r="M66" s="50" t="s">
        <v>7</v>
      </c>
      <c r="N66" s="111">
        <v>5</v>
      </c>
      <c r="O66" s="111">
        <v>5</v>
      </c>
      <c r="P66" s="111">
        <v>5</v>
      </c>
      <c r="Q66" s="111">
        <v>5</v>
      </c>
      <c r="R66" s="111">
        <v>5</v>
      </c>
      <c r="S66" s="111">
        <v>5</v>
      </c>
      <c r="T66" s="111">
        <v>5</v>
      </c>
      <c r="U66" s="111">
        <v>5</v>
      </c>
      <c r="V66" s="111">
        <v>5</v>
      </c>
      <c r="W66" s="111">
        <v>5</v>
      </c>
      <c r="X66" s="111">
        <v>5</v>
      </c>
      <c r="Y66" s="111">
        <v>5</v>
      </c>
      <c r="Z66" s="111">
        <v>5</v>
      </c>
      <c r="AA66" s="111">
        <v>5</v>
      </c>
      <c r="AB66" s="111">
        <v>5</v>
      </c>
      <c r="AC66" s="111">
        <v>5</v>
      </c>
      <c r="AD66" s="111">
        <v>5</v>
      </c>
      <c r="AE66" s="111">
        <v>5</v>
      </c>
      <c r="AF66" s="111">
        <v>5</v>
      </c>
      <c r="AG66" s="111">
        <v>5</v>
      </c>
      <c r="AH66" s="111">
        <v>5</v>
      </c>
      <c r="AI66" s="111">
        <v>5</v>
      </c>
      <c r="AJ66" s="111">
        <v>5</v>
      </c>
      <c r="AK66" s="111">
        <v>5</v>
      </c>
      <c r="AL66" s="111">
        <v>5</v>
      </c>
      <c r="AM66" s="111">
        <v>5</v>
      </c>
      <c r="AN66" s="111">
        <v>5</v>
      </c>
      <c r="AO66" s="111">
        <v>5</v>
      </c>
      <c r="AP66" s="111">
        <v>5</v>
      </c>
      <c r="AQ66" s="111">
        <v>5</v>
      </c>
      <c r="AR66" s="111">
        <v>5</v>
      </c>
      <c r="AS66" s="111">
        <v>5</v>
      </c>
      <c r="AT66" s="111">
        <v>5</v>
      </c>
      <c r="AU66" s="111">
        <v>5</v>
      </c>
      <c r="AV66" s="50" t="s">
        <v>199</v>
      </c>
      <c r="AW66" s="50" t="s">
        <v>199</v>
      </c>
      <c r="AX66" s="50" t="s">
        <v>199</v>
      </c>
      <c r="AY66" s="50" t="s">
        <v>200</v>
      </c>
      <c r="AZ66" s="50" t="s">
        <v>200</v>
      </c>
      <c r="BA66" s="50" t="s">
        <v>200</v>
      </c>
      <c r="BB66" s="50" t="s">
        <v>200</v>
      </c>
      <c r="BC66" s="50" t="s">
        <v>200</v>
      </c>
      <c r="BD66" s="50" t="s">
        <v>200</v>
      </c>
      <c r="BE66" s="50" t="s">
        <v>200</v>
      </c>
      <c r="BF66" s="50" t="s">
        <v>200</v>
      </c>
      <c r="BG66" s="50" t="s">
        <v>200</v>
      </c>
      <c r="BH66" s="50" t="s">
        <v>200</v>
      </c>
      <c r="BI66" s="50" t="s">
        <v>200</v>
      </c>
      <c r="BJ66" s="50" t="s">
        <v>200</v>
      </c>
      <c r="BK66" s="50" t="s">
        <v>200</v>
      </c>
      <c r="BL66" s="50" t="s">
        <v>200</v>
      </c>
      <c r="BM66" s="50" t="s">
        <v>436</v>
      </c>
      <c r="BN66" s="50" t="s">
        <v>318</v>
      </c>
      <c r="BO66" s="50" t="s">
        <v>91</v>
      </c>
      <c r="BP66" s="50" t="s">
        <v>286</v>
      </c>
      <c r="BQ66" s="50" t="s">
        <v>287</v>
      </c>
      <c r="BR66" s="50" t="s">
        <v>403</v>
      </c>
      <c r="BS66" s="111">
        <v>4</v>
      </c>
      <c r="BT66" s="50" t="s">
        <v>505</v>
      </c>
      <c r="BU66" s="50" t="s">
        <v>312</v>
      </c>
      <c r="BV66" s="50" t="s">
        <v>288</v>
      </c>
      <c r="BW66" s="50" t="s">
        <v>304</v>
      </c>
      <c r="BX66" s="50" t="s">
        <v>290</v>
      </c>
      <c r="BY66" s="50" t="s">
        <v>288</v>
      </c>
      <c r="BZ66" s="50" t="s">
        <v>287</v>
      </c>
      <c r="CA66" s="50"/>
      <c r="CB66" s="50" t="s">
        <v>287</v>
      </c>
      <c r="CC66" s="50" t="s">
        <v>287</v>
      </c>
      <c r="CD66" s="50" t="s">
        <v>287</v>
      </c>
      <c r="CE66" s="50"/>
      <c r="CF66" s="50" t="s">
        <v>287</v>
      </c>
      <c r="CG66" s="50" t="s">
        <v>287</v>
      </c>
      <c r="CH66" s="50" t="s">
        <v>486</v>
      </c>
      <c r="CI66" s="50" t="s">
        <v>287</v>
      </c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36.75" customHeight="1" thickBot="1">
      <c r="A67" s="49">
        <v>46084.561840277776</v>
      </c>
      <c r="B67" s="50" t="s">
        <v>40</v>
      </c>
      <c r="C67" s="50" t="s">
        <v>45</v>
      </c>
      <c r="D67" s="50" t="s">
        <v>369</v>
      </c>
      <c r="E67" s="50" t="s">
        <v>285</v>
      </c>
      <c r="F67" s="50" t="s">
        <v>286</v>
      </c>
      <c r="G67" s="50" t="s">
        <v>292</v>
      </c>
      <c r="H67" s="50" t="s">
        <v>309</v>
      </c>
      <c r="I67" s="50" t="s">
        <v>81</v>
      </c>
      <c r="J67" s="50" t="s">
        <v>286</v>
      </c>
      <c r="K67" s="50" t="s">
        <v>287</v>
      </c>
      <c r="L67" s="50" t="s">
        <v>336</v>
      </c>
      <c r="M67" s="50" t="s">
        <v>7</v>
      </c>
      <c r="N67" s="111">
        <v>5</v>
      </c>
      <c r="O67" s="111">
        <v>5</v>
      </c>
      <c r="P67" s="111">
        <v>5</v>
      </c>
      <c r="Q67" s="111">
        <v>5</v>
      </c>
      <c r="R67" s="111">
        <v>5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5</v>
      </c>
      <c r="Z67" s="111">
        <v>5</v>
      </c>
      <c r="AA67" s="111">
        <v>5</v>
      </c>
      <c r="AB67" s="111">
        <v>5</v>
      </c>
      <c r="AC67" s="111">
        <v>5</v>
      </c>
      <c r="AD67" s="111">
        <v>5</v>
      </c>
      <c r="AE67" s="111">
        <v>5</v>
      </c>
      <c r="AF67" s="111">
        <v>5</v>
      </c>
      <c r="AG67" s="111">
        <v>5</v>
      </c>
      <c r="AH67" s="111">
        <v>5</v>
      </c>
      <c r="AI67" s="111">
        <v>5</v>
      </c>
      <c r="AJ67" s="111">
        <v>5</v>
      </c>
      <c r="AK67" s="111">
        <v>5</v>
      </c>
      <c r="AL67" s="111">
        <v>5</v>
      </c>
      <c r="AM67" s="111">
        <v>5</v>
      </c>
      <c r="AN67" s="111">
        <v>5</v>
      </c>
      <c r="AO67" s="111">
        <v>5</v>
      </c>
      <c r="AP67" s="111">
        <v>5</v>
      </c>
      <c r="AQ67" s="111">
        <v>5</v>
      </c>
      <c r="AR67" s="111">
        <v>5</v>
      </c>
      <c r="AS67" s="111">
        <v>5</v>
      </c>
      <c r="AT67" s="111">
        <v>5</v>
      </c>
      <c r="AU67" s="111">
        <v>5</v>
      </c>
      <c r="AV67" s="50" t="s">
        <v>199</v>
      </c>
      <c r="AW67" s="50" t="s">
        <v>199</v>
      </c>
      <c r="AX67" s="50" t="s">
        <v>199</v>
      </c>
      <c r="AY67" s="50" t="s">
        <v>200</v>
      </c>
      <c r="AZ67" s="50" t="s">
        <v>200</v>
      </c>
      <c r="BA67" s="50" t="s">
        <v>200</v>
      </c>
      <c r="BB67" s="50" t="s">
        <v>200</v>
      </c>
      <c r="BC67" s="50" t="s">
        <v>200</v>
      </c>
      <c r="BD67" s="50" t="s">
        <v>200</v>
      </c>
      <c r="BE67" s="50" t="s">
        <v>200</v>
      </c>
      <c r="BF67" s="50" t="s">
        <v>200</v>
      </c>
      <c r="BG67" s="50" t="s">
        <v>200</v>
      </c>
      <c r="BH67" s="50" t="s">
        <v>200</v>
      </c>
      <c r="BI67" s="50" t="s">
        <v>200</v>
      </c>
      <c r="BJ67" s="50" t="s">
        <v>200</v>
      </c>
      <c r="BK67" s="50" t="s">
        <v>200</v>
      </c>
      <c r="BL67" s="50" t="s">
        <v>200</v>
      </c>
      <c r="BM67" s="50" t="s">
        <v>436</v>
      </c>
      <c r="BN67" s="50" t="s">
        <v>318</v>
      </c>
      <c r="BO67" s="50" t="s">
        <v>428</v>
      </c>
      <c r="BP67" s="50" t="s">
        <v>286</v>
      </c>
      <c r="BQ67" s="50" t="s">
        <v>287</v>
      </c>
      <c r="BR67" s="50" t="s">
        <v>403</v>
      </c>
      <c r="BS67" s="111">
        <v>4</v>
      </c>
      <c r="BT67" s="50" t="s">
        <v>286</v>
      </c>
      <c r="BU67" s="50" t="s">
        <v>312</v>
      </c>
      <c r="BV67" s="50" t="s">
        <v>288</v>
      </c>
      <c r="BW67" s="50" t="s">
        <v>303</v>
      </c>
      <c r="BX67" s="50" t="s">
        <v>296</v>
      </c>
      <c r="BY67" s="50" t="s">
        <v>288</v>
      </c>
      <c r="BZ67" s="50" t="s">
        <v>287</v>
      </c>
      <c r="CA67" s="50"/>
      <c r="CB67" s="50" t="s">
        <v>287</v>
      </c>
      <c r="CC67" s="50" t="s">
        <v>287</v>
      </c>
      <c r="CD67" s="50" t="s">
        <v>287</v>
      </c>
      <c r="CE67" s="50"/>
      <c r="CF67" s="50" t="s">
        <v>287</v>
      </c>
      <c r="CG67" s="50" t="s">
        <v>287</v>
      </c>
      <c r="CH67" s="50" t="s">
        <v>486</v>
      </c>
      <c r="CI67" s="50" t="s">
        <v>287</v>
      </c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ht="36.75" customHeight="1" thickBot="1">
      <c r="A68" s="49">
        <v>46084.567060185182</v>
      </c>
      <c r="B68" s="50" t="s">
        <v>40</v>
      </c>
      <c r="C68" s="50" t="s">
        <v>46</v>
      </c>
      <c r="D68" s="50" t="s">
        <v>374</v>
      </c>
      <c r="E68" s="50" t="s">
        <v>59</v>
      </c>
      <c r="F68" s="50" t="s">
        <v>286</v>
      </c>
      <c r="G68" s="50" t="s">
        <v>73</v>
      </c>
      <c r="H68" s="50" t="s">
        <v>313</v>
      </c>
      <c r="I68" s="50" t="s">
        <v>81</v>
      </c>
      <c r="J68" s="50" t="s">
        <v>286</v>
      </c>
      <c r="K68" s="50" t="s">
        <v>287</v>
      </c>
      <c r="L68" s="50" t="s">
        <v>336</v>
      </c>
      <c r="M68" s="50" t="s">
        <v>7</v>
      </c>
      <c r="N68" s="111">
        <v>5</v>
      </c>
      <c r="O68" s="111">
        <v>5</v>
      </c>
      <c r="P68" s="111">
        <v>5</v>
      </c>
      <c r="Q68" s="111">
        <v>5</v>
      </c>
      <c r="R68" s="111">
        <v>5</v>
      </c>
      <c r="S68" s="111">
        <v>5</v>
      </c>
      <c r="T68" s="111">
        <v>5</v>
      </c>
      <c r="U68" s="111">
        <v>5</v>
      </c>
      <c r="V68" s="111">
        <v>5</v>
      </c>
      <c r="W68" s="111">
        <v>5</v>
      </c>
      <c r="X68" s="111">
        <v>5</v>
      </c>
      <c r="Y68" s="111">
        <v>5</v>
      </c>
      <c r="Z68" s="111">
        <v>5</v>
      </c>
      <c r="AA68" s="111">
        <v>5</v>
      </c>
      <c r="AB68" s="111">
        <v>5</v>
      </c>
      <c r="AC68" s="111">
        <v>5</v>
      </c>
      <c r="AD68" s="111">
        <v>5</v>
      </c>
      <c r="AE68" s="111">
        <v>5</v>
      </c>
      <c r="AF68" s="111">
        <v>5</v>
      </c>
      <c r="AG68" s="111">
        <v>5</v>
      </c>
      <c r="AH68" s="111">
        <v>5</v>
      </c>
      <c r="AI68" s="111">
        <v>5</v>
      </c>
      <c r="AJ68" s="111">
        <v>5</v>
      </c>
      <c r="AK68" s="111">
        <v>5</v>
      </c>
      <c r="AL68" s="111">
        <v>5</v>
      </c>
      <c r="AM68" s="111">
        <v>5</v>
      </c>
      <c r="AN68" s="111">
        <v>5</v>
      </c>
      <c r="AO68" s="111">
        <v>5</v>
      </c>
      <c r="AP68" s="111">
        <v>5</v>
      </c>
      <c r="AQ68" s="111">
        <v>5</v>
      </c>
      <c r="AR68" s="111">
        <v>5</v>
      </c>
      <c r="AS68" s="111">
        <v>5</v>
      </c>
      <c r="AT68" s="111">
        <v>5</v>
      </c>
      <c r="AU68" s="111">
        <v>5</v>
      </c>
      <c r="AV68" s="50" t="s">
        <v>199</v>
      </c>
      <c r="AW68" s="50" t="s">
        <v>199</v>
      </c>
      <c r="AX68" s="50" t="s">
        <v>199</v>
      </c>
      <c r="AY68" s="50" t="s">
        <v>200</v>
      </c>
      <c r="AZ68" s="50" t="s">
        <v>200</v>
      </c>
      <c r="BA68" s="50" t="s">
        <v>200</v>
      </c>
      <c r="BB68" s="50" t="s">
        <v>200</v>
      </c>
      <c r="BC68" s="50" t="s">
        <v>200</v>
      </c>
      <c r="BD68" s="50" t="s">
        <v>200</v>
      </c>
      <c r="BE68" s="50" t="s">
        <v>200</v>
      </c>
      <c r="BF68" s="50" t="s">
        <v>200</v>
      </c>
      <c r="BG68" s="50" t="s">
        <v>200</v>
      </c>
      <c r="BH68" s="50" t="s">
        <v>200</v>
      </c>
      <c r="BI68" s="50" t="s">
        <v>200</v>
      </c>
      <c r="BJ68" s="50" t="s">
        <v>200</v>
      </c>
      <c r="BK68" s="50" t="s">
        <v>200</v>
      </c>
      <c r="BL68" s="50" t="s">
        <v>200</v>
      </c>
      <c r="BM68" s="50" t="s">
        <v>436</v>
      </c>
      <c r="BN68" s="50" t="s">
        <v>318</v>
      </c>
      <c r="BO68" s="50" t="s">
        <v>91</v>
      </c>
      <c r="BP68" s="50" t="s">
        <v>286</v>
      </c>
      <c r="BQ68" s="50" t="s">
        <v>287</v>
      </c>
      <c r="BR68" s="50" t="s">
        <v>403</v>
      </c>
      <c r="BS68" s="111">
        <v>4</v>
      </c>
      <c r="BT68" s="50" t="s">
        <v>286</v>
      </c>
      <c r="BU68" s="50" t="s">
        <v>312</v>
      </c>
      <c r="BV68" s="50" t="s">
        <v>288</v>
      </c>
      <c r="BW68" s="50" t="s">
        <v>303</v>
      </c>
      <c r="BX68" s="50" t="s">
        <v>294</v>
      </c>
      <c r="BY68" s="50" t="s">
        <v>288</v>
      </c>
      <c r="BZ68" s="50" t="s">
        <v>287</v>
      </c>
      <c r="CA68" s="50"/>
      <c r="CB68" s="50" t="s">
        <v>287</v>
      </c>
      <c r="CC68" s="50" t="s">
        <v>287</v>
      </c>
      <c r="CD68" s="50" t="s">
        <v>287</v>
      </c>
      <c r="CE68" s="50"/>
      <c r="CF68" s="50" t="s">
        <v>287</v>
      </c>
      <c r="CG68" s="50" t="s">
        <v>287</v>
      </c>
      <c r="CH68" s="50" t="s">
        <v>486</v>
      </c>
      <c r="CI68" s="50" t="s">
        <v>287</v>
      </c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1:97" ht="36.75" customHeight="1" thickBot="1">
      <c r="A69" s="49">
        <v>46084.572824074072</v>
      </c>
      <c r="B69" s="50" t="s">
        <v>40</v>
      </c>
      <c r="C69" s="50" t="s">
        <v>45</v>
      </c>
      <c r="D69" s="50" t="s">
        <v>374</v>
      </c>
      <c r="E69" s="50" t="s">
        <v>60</v>
      </c>
      <c r="F69" s="50" t="s">
        <v>286</v>
      </c>
      <c r="G69" s="50" t="s">
        <v>73</v>
      </c>
      <c r="H69" s="50" t="s">
        <v>320</v>
      </c>
      <c r="I69" s="50" t="s">
        <v>81</v>
      </c>
      <c r="J69" s="50" t="s">
        <v>286</v>
      </c>
      <c r="K69" s="50" t="s">
        <v>287</v>
      </c>
      <c r="L69" s="50" t="s">
        <v>336</v>
      </c>
      <c r="M69" s="50" t="s">
        <v>7</v>
      </c>
      <c r="N69" s="111">
        <v>5</v>
      </c>
      <c r="O69" s="111">
        <v>5</v>
      </c>
      <c r="P69" s="111">
        <v>5</v>
      </c>
      <c r="Q69" s="111">
        <v>5</v>
      </c>
      <c r="R69" s="111">
        <v>5</v>
      </c>
      <c r="S69" s="111">
        <v>5</v>
      </c>
      <c r="T69" s="111">
        <v>5</v>
      </c>
      <c r="U69" s="111">
        <v>5</v>
      </c>
      <c r="V69" s="111">
        <v>5</v>
      </c>
      <c r="W69" s="111">
        <v>5</v>
      </c>
      <c r="X69" s="111">
        <v>5</v>
      </c>
      <c r="Y69" s="111">
        <v>5</v>
      </c>
      <c r="Z69" s="111">
        <v>5</v>
      </c>
      <c r="AA69" s="111">
        <v>5</v>
      </c>
      <c r="AB69" s="111">
        <v>5</v>
      </c>
      <c r="AC69" s="111">
        <v>5</v>
      </c>
      <c r="AD69" s="111">
        <v>5</v>
      </c>
      <c r="AE69" s="111">
        <v>5</v>
      </c>
      <c r="AF69" s="111">
        <v>5</v>
      </c>
      <c r="AG69" s="111">
        <v>5</v>
      </c>
      <c r="AH69" s="111">
        <v>5</v>
      </c>
      <c r="AI69" s="111">
        <v>5</v>
      </c>
      <c r="AJ69" s="111">
        <v>5</v>
      </c>
      <c r="AK69" s="111">
        <v>5</v>
      </c>
      <c r="AL69" s="111">
        <v>5</v>
      </c>
      <c r="AM69" s="111">
        <v>5</v>
      </c>
      <c r="AN69" s="111">
        <v>5</v>
      </c>
      <c r="AO69" s="111">
        <v>5</v>
      </c>
      <c r="AP69" s="111">
        <v>5</v>
      </c>
      <c r="AQ69" s="111">
        <v>5</v>
      </c>
      <c r="AR69" s="111">
        <v>5</v>
      </c>
      <c r="AS69" s="111">
        <v>5</v>
      </c>
      <c r="AT69" s="111">
        <v>5</v>
      </c>
      <c r="AU69" s="111">
        <v>5</v>
      </c>
      <c r="AV69" s="50" t="s">
        <v>199</v>
      </c>
      <c r="AW69" s="50" t="s">
        <v>199</v>
      </c>
      <c r="AX69" s="50" t="s">
        <v>199</v>
      </c>
      <c r="AY69" s="50" t="s">
        <v>200</v>
      </c>
      <c r="AZ69" s="50" t="s">
        <v>200</v>
      </c>
      <c r="BA69" s="50" t="s">
        <v>200</v>
      </c>
      <c r="BB69" s="50" t="s">
        <v>200</v>
      </c>
      <c r="BC69" s="50" t="s">
        <v>200</v>
      </c>
      <c r="BD69" s="50" t="s">
        <v>200</v>
      </c>
      <c r="BE69" s="50" t="s">
        <v>200</v>
      </c>
      <c r="BF69" s="50" t="s">
        <v>200</v>
      </c>
      <c r="BG69" s="50" t="s">
        <v>200</v>
      </c>
      <c r="BH69" s="50" t="s">
        <v>200</v>
      </c>
      <c r="BI69" s="50" t="s">
        <v>200</v>
      </c>
      <c r="BJ69" s="50" t="s">
        <v>200</v>
      </c>
      <c r="BK69" s="50" t="s">
        <v>200</v>
      </c>
      <c r="BL69" s="50" t="s">
        <v>200</v>
      </c>
      <c r="BM69" s="50" t="s">
        <v>436</v>
      </c>
      <c r="BN69" s="50" t="s">
        <v>318</v>
      </c>
      <c r="BO69" s="50" t="s">
        <v>91</v>
      </c>
      <c r="BP69" s="50" t="s">
        <v>286</v>
      </c>
      <c r="BQ69" s="50" t="s">
        <v>287</v>
      </c>
      <c r="BR69" s="50" t="s">
        <v>403</v>
      </c>
      <c r="BS69" s="111">
        <v>4</v>
      </c>
      <c r="BT69" s="50" t="s">
        <v>286</v>
      </c>
      <c r="BU69" s="50" t="s">
        <v>312</v>
      </c>
      <c r="BV69" s="50" t="s">
        <v>288</v>
      </c>
      <c r="BW69" s="50" t="s">
        <v>303</v>
      </c>
      <c r="BX69" s="50" t="s">
        <v>290</v>
      </c>
      <c r="BY69" s="50" t="s">
        <v>288</v>
      </c>
      <c r="BZ69" s="50" t="s">
        <v>287</v>
      </c>
      <c r="CA69" s="50"/>
      <c r="CB69" s="50" t="s">
        <v>287</v>
      </c>
      <c r="CC69" s="50" t="s">
        <v>287</v>
      </c>
      <c r="CD69" s="50" t="s">
        <v>287</v>
      </c>
      <c r="CE69" s="50"/>
      <c r="CF69" s="50" t="s">
        <v>287</v>
      </c>
      <c r="CG69" s="50" t="s">
        <v>287</v>
      </c>
      <c r="CH69" s="50" t="s">
        <v>486</v>
      </c>
      <c r="CI69" s="50" t="s">
        <v>287</v>
      </c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1:97" ht="36.75" customHeight="1" thickBot="1">
      <c r="A70" s="49">
        <v>46084.577199074076</v>
      </c>
      <c r="B70" s="50" t="s">
        <v>40</v>
      </c>
      <c r="C70" s="50" t="s">
        <v>45</v>
      </c>
      <c r="D70" s="50" t="s">
        <v>374</v>
      </c>
      <c r="E70" s="50" t="s">
        <v>62</v>
      </c>
      <c r="F70" s="50" t="s">
        <v>286</v>
      </c>
      <c r="G70" s="50" t="s">
        <v>73</v>
      </c>
      <c r="H70" s="50" t="s">
        <v>320</v>
      </c>
      <c r="I70" s="50" t="s">
        <v>81</v>
      </c>
      <c r="J70" s="50" t="s">
        <v>286</v>
      </c>
      <c r="K70" s="50" t="s">
        <v>287</v>
      </c>
      <c r="L70" s="50" t="s">
        <v>336</v>
      </c>
      <c r="M70" s="50" t="s">
        <v>7</v>
      </c>
      <c r="N70" s="111">
        <v>5</v>
      </c>
      <c r="O70" s="111">
        <v>5</v>
      </c>
      <c r="P70" s="111">
        <v>5</v>
      </c>
      <c r="Q70" s="111">
        <v>5</v>
      </c>
      <c r="R70" s="111">
        <v>5</v>
      </c>
      <c r="S70" s="111">
        <v>5</v>
      </c>
      <c r="T70" s="111">
        <v>5</v>
      </c>
      <c r="U70" s="111">
        <v>5</v>
      </c>
      <c r="V70" s="111">
        <v>5</v>
      </c>
      <c r="W70" s="111">
        <v>5</v>
      </c>
      <c r="X70" s="111">
        <v>5</v>
      </c>
      <c r="Y70" s="111">
        <v>5</v>
      </c>
      <c r="Z70" s="111">
        <v>5</v>
      </c>
      <c r="AA70" s="111">
        <v>5</v>
      </c>
      <c r="AB70" s="111">
        <v>5</v>
      </c>
      <c r="AC70" s="111">
        <v>5</v>
      </c>
      <c r="AD70" s="111">
        <v>5</v>
      </c>
      <c r="AE70" s="111">
        <v>5</v>
      </c>
      <c r="AF70" s="111">
        <v>5</v>
      </c>
      <c r="AG70" s="111">
        <v>5</v>
      </c>
      <c r="AH70" s="111">
        <v>5</v>
      </c>
      <c r="AI70" s="111">
        <v>5</v>
      </c>
      <c r="AJ70" s="111">
        <v>5</v>
      </c>
      <c r="AK70" s="111">
        <v>5</v>
      </c>
      <c r="AL70" s="111">
        <v>5</v>
      </c>
      <c r="AM70" s="111">
        <v>5</v>
      </c>
      <c r="AN70" s="111">
        <v>5</v>
      </c>
      <c r="AO70" s="111">
        <v>5</v>
      </c>
      <c r="AP70" s="111">
        <v>5</v>
      </c>
      <c r="AQ70" s="111">
        <v>5</v>
      </c>
      <c r="AR70" s="111">
        <v>5</v>
      </c>
      <c r="AS70" s="111">
        <v>5</v>
      </c>
      <c r="AT70" s="111">
        <v>5</v>
      </c>
      <c r="AU70" s="111">
        <v>5</v>
      </c>
      <c r="AV70" s="50" t="s">
        <v>199</v>
      </c>
      <c r="AW70" s="50" t="s">
        <v>199</v>
      </c>
      <c r="AX70" s="50" t="s">
        <v>199</v>
      </c>
      <c r="AY70" s="50" t="s">
        <v>200</v>
      </c>
      <c r="AZ70" s="50" t="s">
        <v>200</v>
      </c>
      <c r="BA70" s="50" t="s">
        <v>200</v>
      </c>
      <c r="BB70" s="50" t="s">
        <v>200</v>
      </c>
      <c r="BC70" s="50" t="s">
        <v>200</v>
      </c>
      <c r="BD70" s="50" t="s">
        <v>200</v>
      </c>
      <c r="BE70" s="50" t="s">
        <v>200</v>
      </c>
      <c r="BF70" s="50" t="s">
        <v>200</v>
      </c>
      <c r="BG70" s="50" t="s">
        <v>200</v>
      </c>
      <c r="BH70" s="50" t="s">
        <v>200</v>
      </c>
      <c r="BI70" s="50" t="s">
        <v>200</v>
      </c>
      <c r="BJ70" s="50" t="s">
        <v>200</v>
      </c>
      <c r="BK70" s="50" t="s">
        <v>200</v>
      </c>
      <c r="BL70" s="50" t="s">
        <v>200</v>
      </c>
      <c r="BM70" s="50" t="s">
        <v>436</v>
      </c>
      <c r="BN70" s="50" t="s">
        <v>318</v>
      </c>
      <c r="BO70" s="50" t="s">
        <v>91</v>
      </c>
      <c r="BP70" s="50" t="s">
        <v>286</v>
      </c>
      <c r="BQ70" s="50" t="s">
        <v>287</v>
      </c>
      <c r="BR70" s="50" t="s">
        <v>403</v>
      </c>
      <c r="BS70" s="111">
        <v>4</v>
      </c>
      <c r="BT70" s="50" t="s">
        <v>286</v>
      </c>
      <c r="BU70" s="50" t="s">
        <v>312</v>
      </c>
      <c r="BV70" s="50" t="s">
        <v>288</v>
      </c>
      <c r="BW70" s="50" t="s">
        <v>303</v>
      </c>
      <c r="BX70" s="50" t="s">
        <v>296</v>
      </c>
      <c r="BY70" s="50" t="s">
        <v>288</v>
      </c>
      <c r="BZ70" s="50" t="s">
        <v>287</v>
      </c>
      <c r="CA70" s="50"/>
      <c r="CB70" s="50" t="s">
        <v>287</v>
      </c>
      <c r="CC70" s="50" t="s">
        <v>287</v>
      </c>
      <c r="CD70" s="50" t="s">
        <v>287</v>
      </c>
      <c r="CE70" s="50"/>
      <c r="CF70" s="50" t="s">
        <v>287</v>
      </c>
      <c r="CG70" s="50" t="s">
        <v>287</v>
      </c>
      <c r="CH70" s="50" t="s">
        <v>486</v>
      </c>
      <c r="CI70" s="50" t="s">
        <v>287</v>
      </c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1:97" ht="36.75" customHeight="1" thickBot="1">
      <c r="A71" s="49">
        <v>46084.582442129627</v>
      </c>
      <c r="B71" s="50" t="s">
        <v>40</v>
      </c>
      <c r="C71" s="50" t="s">
        <v>45</v>
      </c>
      <c r="D71" s="50" t="s">
        <v>374</v>
      </c>
      <c r="E71" s="50" t="s">
        <v>63</v>
      </c>
      <c r="F71" s="50" t="s">
        <v>286</v>
      </c>
      <c r="G71" s="50" t="s">
        <v>73</v>
      </c>
      <c r="H71" s="50" t="s">
        <v>286</v>
      </c>
      <c r="I71" s="50" t="s">
        <v>81</v>
      </c>
      <c r="J71" s="50" t="s">
        <v>286</v>
      </c>
      <c r="K71" s="50" t="s">
        <v>287</v>
      </c>
      <c r="L71" s="50" t="s">
        <v>336</v>
      </c>
      <c r="M71" s="50" t="s">
        <v>7</v>
      </c>
      <c r="N71" s="111">
        <v>5</v>
      </c>
      <c r="O71" s="111">
        <v>5</v>
      </c>
      <c r="P71" s="111">
        <v>5</v>
      </c>
      <c r="Q71" s="111">
        <v>5</v>
      </c>
      <c r="R71" s="111">
        <v>5</v>
      </c>
      <c r="S71" s="111">
        <v>5</v>
      </c>
      <c r="T71" s="111">
        <v>5</v>
      </c>
      <c r="U71" s="111">
        <v>5</v>
      </c>
      <c r="V71" s="111">
        <v>5</v>
      </c>
      <c r="W71" s="111">
        <v>5</v>
      </c>
      <c r="X71" s="111">
        <v>5</v>
      </c>
      <c r="Y71" s="111">
        <v>5</v>
      </c>
      <c r="Z71" s="111">
        <v>5</v>
      </c>
      <c r="AA71" s="111">
        <v>5</v>
      </c>
      <c r="AB71" s="111">
        <v>5</v>
      </c>
      <c r="AC71" s="111">
        <v>5</v>
      </c>
      <c r="AD71" s="111">
        <v>5</v>
      </c>
      <c r="AE71" s="111">
        <v>5</v>
      </c>
      <c r="AF71" s="111">
        <v>5</v>
      </c>
      <c r="AG71" s="111">
        <v>5</v>
      </c>
      <c r="AH71" s="111">
        <v>5</v>
      </c>
      <c r="AI71" s="111">
        <v>5</v>
      </c>
      <c r="AJ71" s="111">
        <v>5</v>
      </c>
      <c r="AK71" s="111">
        <v>5</v>
      </c>
      <c r="AL71" s="111">
        <v>5</v>
      </c>
      <c r="AM71" s="111">
        <v>5</v>
      </c>
      <c r="AN71" s="111">
        <v>5</v>
      </c>
      <c r="AO71" s="111">
        <v>5</v>
      </c>
      <c r="AP71" s="111">
        <v>5</v>
      </c>
      <c r="AQ71" s="111">
        <v>5</v>
      </c>
      <c r="AR71" s="111">
        <v>5</v>
      </c>
      <c r="AS71" s="111">
        <v>5</v>
      </c>
      <c r="AT71" s="111">
        <v>5</v>
      </c>
      <c r="AU71" s="111">
        <v>5</v>
      </c>
      <c r="AV71" s="50" t="s">
        <v>199</v>
      </c>
      <c r="AW71" s="50" t="s">
        <v>199</v>
      </c>
      <c r="AX71" s="50" t="s">
        <v>199</v>
      </c>
      <c r="AY71" s="50" t="s">
        <v>200</v>
      </c>
      <c r="AZ71" s="50" t="s">
        <v>200</v>
      </c>
      <c r="BA71" s="50" t="s">
        <v>200</v>
      </c>
      <c r="BB71" s="50" t="s">
        <v>200</v>
      </c>
      <c r="BC71" s="50" t="s">
        <v>200</v>
      </c>
      <c r="BD71" s="50" t="s">
        <v>200</v>
      </c>
      <c r="BE71" s="50" t="s">
        <v>200</v>
      </c>
      <c r="BF71" s="50" t="s">
        <v>200</v>
      </c>
      <c r="BG71" s="50" t="s">
        <v>200</v>
      </c>
      <c r="BH71" s="50" t="s">
        <v>200</v>
      </c>
      <c r="BI71" s="50" t="s">
        <v>200</v>
      </c>
      <c r="BJ71" s="50" t="s">
        <v>200</v>
      </c>
      <c r="BK71" s="50" t="s">
        <v>200</v>
      </c>
      <c r="BL71" s="50" t="s">
        <v>200</v>
      </c>
      <c r="BM71" s="50" t="s">
        <v>436</v>
      </c>
      <c r="BN71" s="50" t="s">
        <v>318</v>
      </c>
      <c r="BO71" s="50" t="s">
        <v>91</v>
      </c>
      <c r="BP71" s="50" t="s">
        <v>286</v>
      </c>
      <c r="BQ71" s="50" t="s">
        <v>287</v>
      </c>
      <c r="BR71" s="50" t="s">
        <v>403</v>
      </c>
      <c r="BS71" s="111">
        <v>4</v>
      </c>
      <c r="BT71" s="50" t="s">
        <v>286</v>
      </c>
      <c r="BU71" s="50" t="s">
        <v>312</v>
      </c>
      <c r="BV71" s="50" t="s">
        <v>288</v>
      </c>
      <c r="BW71" s="50" t="s">
        <v>297</v>
      </c>
      <c r="BX71" s="50" t="s">
        <v>296</v>
      </c>
      <c r="BY71" s="50" t="s">
        <v>288</v>
      </c>
      <c r="BZ71" s="50" t="s">
        <v>287</v>
      </c>
      <c r="CA71" s="50"/>
      <c r="CB71" s="50" t="s">
        <v>287</v>
      </c>
      <c r="CC71" s="50" t="s">
        <v>287</v>
      </c>
      <c r="CD71" s="50" t="s">
        <v>287</v>
      </c>
      <c r="CE71" s="50"/>
      <c r="CF71" s="50" t="s">
        <v>287</v>
      </c>
      <c r="CG71" s="50" t="s">
        <v>287</v>
      </c>
      <c r="CH71" s="50" t="s">
        <v>486</v>
      </c>
      <c r="CI71" s="50" t="s">
        <v>287</v>
      </c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1:97" ht="36.75" customHeight="1" thickBot="1">
      <c r="A72" s="49">
        <v>46084.588645833333</v>
      </c>
      <c r="B72" s="50" t="s">
        <v>35</v>
      </c>
      <c r="C72" s="50" t="s">
        <v>45</v>
      </c>
      <c r="D72" s="50" t="s">
        <v>369</v>
      </c>
      <c r="E72" s="50" t="s">
        <v>285</v>
      </c>
      <c r="F72" s="50" t="s">
        <v>286</v>
      </c>
      <c r="G72" s="50" t="s">
        <v>292</v>
      </c>
      <c r="H72" s="50" t="s">
        <v>457</v>
      </c>
      <c r="I72" s="50" t="s">
        <v>92</v>
      </c>
      <c r="J72" s="50" t="s">
        <v>286</v>
      </c>
      <c r="K72" s="50" t="s">
        <v>291</v>
      </c>
      <c r="L72" s="50" t="s">
        <v>286</v>
      </c>
      <c r="M72" s="50" t="s">
        <v>334</v>
      </c>
      <c r="N72" s="111">
        <v>5</v>
      </c>
      <c r="O72" s="111">
        <v>5</v>
      </c>
      <c r="P72" s="111">
        <v>5</v>
      </c>
      <c r="Q72" s="111">
        <v>5</v>
      </c>
      <c r="R72" s="111">
        <v>5</v>
      </c>
      <c r="S72" s="111">
        <v>6</v>
      </c>
      <c r="T72" s="111">
        <v>4</v>
      </c>
      <c r="U72" s="111">
        <v>5</v>
      </c>
      <c r="V72" s="111">
        <v>6</v>
      </c>
      <c r="W72" s="111">
        <v>6</v>
      </c>
      <c r="X72" s="111">
        <v>5</v>
      </c>
      <c r="Y72" s="111">
        <v>5</v>
      </c>
      <c r="Z72" s="111">
        <v>5</v>
      </c>
      <c r="AA72" s="111">
        <v>5</v>
      </c>
      <c r="AB72" s="111">
        <v>5</v>
      </c>
      <c r="AC72" s="111">
        <v>5</v>
      </c>
      <c r="AD72" s="111">
        <v>5</v>
      </c>
      <c r="AE72" s="111">
        <v>5</v>
      </c>
      <c r="AF72" s="111">
        <v>5</v>
      </c>
      <c r="AG72" s="111">
        <v>5</v>
      </c>
      <c r="AH72" s="111">
        <v>5</v>
      </c>
      <c r="AI72" s="111">
        <v>5</v>
      </c>
      <c r="AJ72" s="111">
        <v>5</v>
      </c>
      <c r="AK72" s="111">
        <v>4</v>
      </c>
      <c r="AL72" s="111">
        <v>5</v>
      </c>
      <c r="AM72" s="111">
        <v>5</v>
      </c>
      <c r="AN72" s="111">
        <v>5</v>
      </c>
      <c r="AO72" s="111">
        <v>5</v>
      </c>
      <c r="AP72" s="111">
        <v>5</v>
      </c>
      <c r="AQ72" s="111">
        <v>6</v>
      </c>
      <c r="AR72" s="111">
        <v>5</v>
      </c>
      <c r="AS72" s="111">
        <v>5</v>
      </c>
      <c r="AT72" s="111">
        <v>5</v>
      </c>
      <c r="AU72" s="111">
        <v>5</v>
      </c>
      <c r="AV72" s="50" t="s">
        <v>202</v>
      </c>
      <c r="AW72" s="50" t="s">
        <v>202</v>
      </c>
      <c r="AX72" s="50" t="s">
        <v>199</v>
      </c>
      <c r="AY72" s="50" t="s">
        <v>199</v>
      </c>
      <c r="AZ72" s="50" t="s">
        <v>202</v>
      </c>
      <c r="BA72" s="50" t="s">
        <v>199</v>
      </c>
      <c r="BB72" s="50" t="s">
        <v>202</v>
      </c>
      <c r="BC72" s="50" t="s">
        <v>202</v>
      </c>
      <c r="BD72" s="50" t="s">
        <v>202</v>
      </c>
      <c r="BE72" s="50" t="s">
        <v>202</v>
      </c>
      <c r="BF72" s="50" t="s">
        <v>201</v>
      </c>
      <c r="BG72" s="50" t="s">
        <v>202</v>
      </c>
      <c r="BH72" s="50" t="s">
        <v>200</v>
      </c>
      <c r="BI72" s="50" t="s">
        <v>202</v>
      </c>
      <c r="BJ72" s="50" t="s">
        <v>199</v>
      </c>
      <c r="BK72" s="50" t="s">
        <v>202</v>
      </c>
      <c r="BL72" s="50" t="s">
        <v>202</v>
      </c>
      <c r="BM72" s="50" t="s">
        <v>436</v>
      </c>
      <c r="BN72" s="50" t="s">
        <v>480</v>
      </c>
      <c r="BO72" s="50" t="s">
        <v>91</v>
      </c>
      <c r="BP72" s="50" t="s">
        <v>286</v>
      </c>
      <c r="BQ72" s="50" t="s">
        <v>287</v>
      </c>
      <c r="BR72" s="50" t="s">
        <v>506</v>
      </c>
      <c r="BS72" s="111">
        <v>5</v>
      </c>
      <c r="BT72" s="50" t="s">
        <v>286</v>
      </c>
      <c r="BU72" s="50" t="s">
        <v>348</v>
      </c>
      <c r="BV72" s="50" t="s">
        <v>288</v>
      </c>
      <c r="BW72" s="50" t="s">
        <v>350</v>
      </c>
      <c r="BX72" s="50" t="s">
        <v>294</v>
      </c>
      <c r="BY72" s="50" t="s">
        <v>288</v>
      </c>
      <c r="BZ72" s="50" t="s">
        <v>287</v>
      </c>
      <c r="CA72" s="50"/>
      <c r="CB72" s="50" t="s">
        <v>287</v>
      </c>
      <c r="CC72" s="50" t="s">
        <v>287</v>
      </c>
      <c r="CD72" s="50" t="s">
        <v>287</v>
      </c>
      <c r="CE72" s="50"/>
      <c r="CF72" s="50" t="s">
        <v>287</v>
      </c>
      <c r="CG72" s="50" t="s">
        <v>287</v>
      </c>
      <c r="CH72" s="50" t="s">
        <v>486</v>
      </c>
      <c r="CI72" s="50" t="s">
        <v>287</v>
      </c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1:97" ht="36.75" customHeight="1" thickBot="1">
      <c r="A73" s="49">
        <v>46084.589884259258</v>
      </c>
      <c r="B73" s="50" t="s">
        <v>40</v>
      </c>
      <c r="C73" s="50" t="s">
        <v>46</v>
      </c>
      <c r="D73" s="50" t="s">
        <v>374</v>
      </c>
      <c r="E73" s="50" t="s">
        <v>61</v>
      </c>
      <c r="F73" s="50" t="s">
        <v>286</v>
      </c>
      <c r="G73" s="50" t="s">
        <v>73</v>
      </c>
      <c r="H73" s="50" t="s">
        <v>368</v>
      </c>
      <c r="I73" s="50" t="s">
        <v>81</v>
      </c>
      <c r="J73" s="50" t="s">
        <v>286</v>
      </c>
      <c r="K73" s="50" t="s">
        <v>287</v>
      </c>
      <c r="L73" s="50" t="s">
        <v>336</v>
      </c>
      <c r="M73" s="50" t="s">
        <v>7</v>
      </c>
      <c r="N73" s="111">
        <v>5</v>
      </c>
      <c r="O73" s="111">
        <v>5</v>
      </c>
      <c r="P73" s="111">
        <v>5</v>
      </c>
      <c r="Q73" s="111">
        <v>5</v>
      </c>
      <c r="R73" s="111">
        <v>5</v>
      </c>
      <c r="S73" s="111">
        <v>5</v>
      </c>
      <c r="T73" s="111">
        <v>5</v>
      </c>
      <c r="U73" s="111">
        <v>5</v>
      </c>
      <c r="V73" s="111">
        <v>5</v>
      </c>
      <c r="W73" s="111">
        <v>5</v>
      </c>
      <c r="X73" s="111">
        <v>5</v>
      </c>
      <c r="Y73" s="111">
        <v>5</v>
      </c>
      <c r="Z73" s="111">
        <v>5</v>
      </c>
      <c r="AA73" s="111">
        <v>5</v>
      </c>
      <c r="AB73" s="111">
        <v>5</v>
      </c>
      <c r="AC73" s="111">
        <v>5</v>
      </c>
      <c r="AD73" s="111">
        <v>5</v>
      </c>
      <c r="AE73" s="111">
        <v>5</v>
      </c>
      <c r="AF73" s="111">
        <v>5</v>
      </c>
      <c r="AG73" s="111">
        <v>5</v>
      </c>
      <c r="AH73" s="111">
        <v>5</v>
      </c>
      <c r="AI73" s="111">
        <v>5</v>
      </c>
      <c r="AJ73" s="111">
        <v>5</v>
      </c>
      <c r="AK73" s="111">
        <v>5</v>
      </c>
      <c r="AL73" s="111">
        <v>5</v>
      </c>
      <c r="AM73" s="111">
        <v>5</v>
      </c>
      <c r="AN73" s="111">
        <v>5</v>
      </c>
      <c r="AO73" s="111">
        <v>5</v>
      </c>
      <c r="AP73" s="111">
        <v>5</v>
      </c>
      <c r="AQ73" s="111">
        <v>5</v>
      </c>
      <c r="AR73" s="111">
        <v>5</v>
      </c>
      <c r="AS73" s="111">
        <v>5</v>
      </c>
      <c r="AT73" s="111">
        <v>5</v>
      </c>
      <c r="AU73" s="111">
        <v>5</v>
      </c>
      <c r="AV73" s="50" t="s">
        <v>199</v>
      </c>
      <c r="AW73" s="50" t="s">
        <v>199</v>
      </c>
      <c r="AX73" s="50" t="s">
        <v>199</v>
      </c>
      <c r="AY73" s="50" t="s">
        <v>200</v>
      </c>
      <c r="AZ73" s="50" t="s">
        <v>200</v>
      </c>
      <c r="BA73" s="50" t="s">
        <v>200</v>
      </c>
      <c r="BB73" s="50" t="s">
        <v>200</v>
      </c>
      <c r="BC73" s="50" t="s">
        <v>200</v>
      </c>
      <c r="BD73" s="50" t="s">
        <v>200</v>
      </c>
      <c r="BE73" s="50" t="s">
        <v>200</v>
      </c>
      <c r="BF73" s="50" t="s">
        <v>200</v>
      </c>
      <c r="BG73" s="50" t="s">
        <v>200</v>
      </c>
      <c r="BH73" s="50" t="s">
        <v>200</v>
      </c>
      <c r="BI73" s="50" t="s">
        <v>200</v>
      </c>
      <c r="BJ73" s="50" t="s">
        <v>200</v>
      </c>
      <c r="BK73" s="50" t="s">
        <v>200</v>
      </c>
      <c r="BL73" s="50" t="s">
        <v>200</v>
      </c>
      <c r="BM73" s="50" t="s">
        <v>436</v>
      </c>
      <c r="BN73" s="50" t="s">
        <v>318</v>
      </c>
      <c r="BO73" s="50" t="s">
        <v>91</v>
      </c>
      <c r="BP73" s="50" t="s">
        <v>286</v>
      </c>
      <c r="BQ73" s="50" t="s">
        <v>287</v>
      </c>
      <c r="BR73" s="50" t="s">
        <v>403</v>
      </c>
      <c r="BS73" s="111">
        <v>4</v>
      </c>
      <c r="BT73" s="50" t="s">
        <v>286</v>
      </c>
      <c r="BU73" s="50" t="s">
        <v>312</v>
      </c>
      <c r="BV73" s="50" t="s">
        <v>288</v>
      </c>
      <c r="BW73" s="50" t="s">
        <v>289</v>
      </c>
      <c r="BX73" s="50" t="s">
        <v>290</v>
      </c>
      <c r="BY73" s="50" t="s">
        <v>288</v>
      </c>
      <c r="BZ73" s="50" t="s">
        <v>287</v>
      </c>
      <c r="CA73" s="50"/>
      <c r="CB73" s="50" t="s">
        <v>287</v>
      </c>
      <c r="CC73" s="50" t="s">
        <v>287</v>
      </c>
      <c r="CD73" s="50" t="s">
        <v>287</v>
      </c>
      <c r="CE73" s="50"/>
      <c r="CF73" s="50" t="s">
        <v>287</v>
      </c>
      <c r="CG73" s="50" t="s">
        <v>287</v>
      </c>
      <c r="CH73" s="50" t="s">
        <v>486</v>
      </c>
      <c r="CI73" s="50" t="s">
        <v>287</v>
      </c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1:97" ht="36.75" customHeight="1" thickBot="1">
      <c r="A74" s="49">
        <v>46084.593622685185</v>
      </c>
      <c r="B74" s="50" t="s">
        <v>36</v>
      </c>
      <c r="C74" s="50" t="s">
        <v>45</v>
      </c>
      <c r="D74" s="50" t="s">
        <v>374</v>
      </c>
      <c r="E74" s="50" t="s">
        <v>62</v>
      </c>
      <c r="F74" s="50" t="s">
        <v>286</v>
      </c>
      <c r="G74" s="50" t="s">
        <v>74</v>
      </c>
      <c r="H74" s="50" t="s">
        <v>302</v>
      </c>
      <c r="I74" s="50" t="s">
        <v>91</v>
      </c>
      <c r="J74" s="50" t="s">
        <v>286</v>
      </c>
      <c r="K74" s="50" t="s">
        <v>291</v>
      </c>
      <c r="L74" s="50" t="s">
        <v>286</v>
      </c>
      <c r="M74" s="50" t="s">
        <v>370</v>
      </c>
      <c r="N74" s="111">
        <v>5</v>
      </c>
      <c r="O74" s="111">
        <v>5</v>
      </c>
      <c r="P74" s="111">
        <v>5</v>
      </c>
      <c r="Q74" s="111">
        <v>5</v>
      </c>
      <c r="R74" s="111">
        <v>6</v>
      </c>
      <c r="S74" s="111">
        <v>6</v>
      </c>
      <c r="T74" s="111">
        <v>4</v>
      </c>
      <c r="U74" s="111">
        <v>5</v>
      </c>
      <c r="V74" s="111">
        <v>6</v>
      </c>
      <c r="W74" s="111">
        <v>6</v>
      </c>
      <c r="X74" s="111">
        <v>6</v>
      </c>
      <c r="Y74" s="111">
        <v>6</v>
      </c>
      <c r="Z74" s="111">
        <v>6</v>
      </c>
      <c r="AA74" s="111">
        <v>6</v>
      </c>
      <c r="AB74" s="111">
        <v>6</v>
      </c>
      <c r="AC74" s="111">
        <v>5</v>
      </c>
      <c r="AD74" s="111">
        <v>5</v>
      </c>
      <c r="AE74" s="111">
        <v>5</v>
      </c>
      <c r="AF74" s="111">
        <v>5</v>
      </c>
      <c r="AG74" s="111">
        <v>5</v>
      </c>
      <c r="AH74" s="111">
        <v>5</v>
      </c>
      <c r="AI74" s="111">
        <v>5</v>
      </c>
      <c r="AJ74" s="111">
        <v>5</v>
      </c>
      <c r="AK74" s="111">
        <v>5</v>
      </c>
      <c r="AL74" s="111">
        <v>5</v>
      </c>
      <c r="AM74" s="111">
        <v>5</v>
      </c>
      <c r="AN74" s="111">
        <v>5</v>
      </c>
      <c r="AO74" s="111">
        <v>5</v>
      </c>
      <c r="AP74" s="111">
        <v>5</v>
      </c>
      <c r="AQ74" s="111">
        <v>6</v>
      </c>
      <c r="AR74" s="111">
        <v>5</v>
      </c>
      <c r="AS74" s="111">
        <v>5</v>
      </c>
      <c r="AT74" s="111">
        <v>5</v>
      </c>
      <c r="AU74" s="111">
        <v>5</v>
      </c>
      <c r="AV74" s="50" t="s">
        <v>202</v>
      </c>
      <c r="AW74" s="50" t="s">
        <v>202</v>
      </c>
      <c r="AX74" s="50" t="s">
        <v>201</v>
      </c>
      <c r="AY74" s="50" t="s">
        <v>199</v>
      </c>
      <c r="AZ74" s="50" t="s">
        <v>202</v>
      </c>
      <c r="BA74" s="50" t="s">
        <v>199</v>
      </c>
      <c r="BB74" s="50" t="s">
        <v>202</v>
      </c>
      <c r="BC74" s="50" t="s">
        <v>202</v>
      </c>
      <c r="BD74" s="50" t="s">
        <v>202</v>
      </c>
      <c r="BE74" s="50" t="s">
        <v>202</v>
      </c>
      <c r="BF74" s="50" t="s">
        <v>201</v>
      </c>
      <c r="BG74" s="50" t="s">
        <v>202</v>
      </c>
      <c r="BH74" s="50" t="s">
        <v>200</v>
      </c>
      <c r="BI74" s="50" t="s">
        <v>202</v>
      </c>
      <c r="BJ74" s="50" t="s">
        <v>202</v>
      </c>
      <c r="BK74" s="50" t="s">
        <v>202</v>
      </c>
      <c r="BL74" s="50" t="s">
        <v>202</v>
      </c>
      <c r="BM74" s="50" t="s">
        <v>436</v>
      </c>
      <c r="BN74" s="50" t="s">
        <v>358</v>
      </c>
      <c r="BO74" s="50" t="s">
        <v>91</v>
      </c>
      <c r="BP74" s="50"/>
      <c r="BQ74" s="50" t="s">
        <v>287</v>
      </c>
      <c r="BR74" s="50" t="s">
        <v>506</v>
      </c>
      <c r="BS74" s="111">
        <v>5</v>
      </c>
      <c r="BT74" s="50" t="s">
        <v>286</v>
      </c>
      <c r="BU74" s="50" t="s">
        <v>348</v>
      </c>
      <c r="BV74" s="50" t="s">
        <v>288</v>
      </c>
      <c r="BW74" s="50" t="s">
        <v>350</v>
      </c>
      <c r="BX74" s="50" t="s">
        <v>294</v>
      </c>
      <c r="BY74" s="50" t="s">
        <v>288</v>
      </c>
      <c r="BZ74" s="50" t="s">
        <v>287</v>
      </c>
      <c r="CA74" s="50"/>
      <c r="CB74" s="50" t="s">
        <v>287</v>
      </c>
      <c r="CC74" s="50" t="s">
        <v>287</v>
      </c>
      <c r="CD74" s="50" t="s">
        <v>287</v>
      </c>
      <c r="CE74" s="50"/>
      <c r="CF74" s="50" t="s">
        <v>287</v>
      </c>
      <c r="CG74" s="50" t="s">
        <v>287</v>
      </c>
      <c r="CH74" s="50" t="s">
        <v>486</v>
      </c>
      <c r="CI74" s="50" t="s">
        <v>287</v>
      </c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1:97" ht="36.75" customHeight="1" thickBot="1">
      <c r="A75" s="49">
        <v>46084.59578703704</v>
      </c>
      <c r="B75" s="50" t="s">
        <v>40</v>
      </c>
      <c r="C75" s="50" t="s">
        <v>45</v>
      </c>
      <c r="D75" s="50" t="s">
        <v>374</v>
      </c>
      <c r="E75" s="50" t="s">
        <v>61</v>
      </c>
      <c r="F75" s="50" t="s">
        <v>286</v>
      </c>
      <c r="G75" s="50" t="s">
        <v>73</v>
      </c>
      <c r="H75" s="50" t="s">
        <v>357</v>
      </c>
      <c r="I75" s="50" t="s">
        <v>81</v>
      </c>
      <c r="J75" s="50" t="s">
        <v>286</v>
      </c>
      <c r="K75" s="50" t="s">
        <v>287</v>
      </c>
      <c r="L75" s="50" t="s">
        <v>336</v>
      </c>
      <c r="M75" s="50" t="s">
        <v>7</v>
      </c>
      <c r="N75" s="111">
        <v>5</v>
      </c>
      <c r="O75" s="111">
        <v>5</v>
      </c>
      <c r="P75" s="111">
        <v>5</v>
      </c>
      <c r="Q75" s="111">
        <v>5</v>
      </c>
      <c r="R75" s="111">
        <v>5</v>
      </c>
      <c r="S75" s="111">
        <v>5</v>
      </c>
      <c r="T75" s="111">
        <v>5</v>
      </c>
      <c r="U75" s="111">
        <v>5</v>
      </c>
      <c r="V75" s="111">
        <v>5</v>
      </c>
      <c r="W75" s="111">
        <v>5</v>
      </c>
      <c r="X75" s="111">
        <v>5</v>
      </c>
      <c r="Y75" s="111">
        <v>5</v>
      </c>
      <c r="Z75" s="111">
        <v>5</v>
      </c>
      <c r="AA75" s="111">
        <v>5</v>
      </c>
      <c r="AB75" s="111">
        <v>5</v>
      </c>
      <c r="AC75" s="111">
        <v>5</v>
      </c>
      <c r="AD75" s="111">
        <v>5</v>
      </c>
      <c r="AE75" s="111">
        <v>5</v>
      </c>
      <c r="AF75" s="111">
        <v>5</v>
      </c>
      <c r="AG75" s="111">
        <v>5</v>
      </c>
      <c r="AH75" s="111">
        <v>5</v>
      </c>
      <c r="AI75" s="111">
        <v>5</v>
      </c>
      <c r="AJ75" s="111">
        <v>5</v>
      </c>
      <c r="AK75" s="111">
        <v>5</v>
      </c>
      <c r="AL75" s="111">
        <v>5</v>
      </c>
      <c r="AM75" s="111">
        <v>5</v>
      </c>
      <c r="AN75" s="111">
        <v>5</v>
      </c>
      <c r="AO75" s="111">
        <v>5</v>
      </c>
      <c r="AP75" s="111">
        <v>5</v>
      </c>
      <c r="AQ75" s="111">
        <v>5</v>
      </c>
      <c r="AR75" s="111">
        <v>5</v>
      </c>
      <c r="AS75" s="111">
        <v>5</v>
      </c>
      <c r="AT75" s="111">
        <v>5</v>
      </c>
      <c r="AU75" s="111">
        <v>5</v>
      </c>
      <c r="AV75" s="50" t="s">
        <v>199</v>
      </c>
      <c r="AW75" s="50" t="s">
        <v>199</v>
      </c>
      <c r="AX75" s="50" t="s">
        <v>199</v>
      </c>
      <c r="AY75" s="50" t="s">
        <v>200</v>
      </c>
      <c r="AZ75" s="50" t="s">
        <v>200</v>
      </c>
      <c r="BA75" s="50" t="s">
        <v>200</v>
      </c>
      <c r="BB75" s="50" t="s">
        <v>200</v>
      </c>
      <c r="BC75" s="50" t="s">
        <v>200</v>
      </c>
      <c r="BD75" s="50" t="s">
        <v>200</v>
      </c>
      <c r="BE75" s="50" t="s">
        <v>200</v>
      </c>
      <c r="BF75" s="50" t="s">
        <v>200</v>
      </c>
      <c r="BG75" s="50" t="s">
        <v>200</v>
      </c>
      <c r="BH75" s="50" t="s">
        <v>200</v>
      </c>
      <c r="BI75" s="50" t="s">
        <v>200</v>
      </c>
      <c r="BJ75" s="50" t="s">
        <v>200</v>
      </c>
      <c r="BK75" s="50" t="s">
        <v>200</v>
      </c>
      <c r="BL75" s="50" t="s">
        <v>200</v>
      </c>
      <c r="BM75" s="50" t="s">
        <v>436</v>
      </c>
      <c r="BN75" s="50" t="s">
        <v>318</v>
      </c>
      <c r="BO75" s="50" t="s">
        <v>91</v>
      </c>
      <c r="BP75" s="50" t="s">
        <v>286</v>
      </c>
      <c r="BQ75" s="50" t="s">
        <v>287</v>
      </c>
      <c r="BR75" s="50" t="s">
        <v>382</v>
      </c>
      <c r="BS75" s="111">
        <v>4</v>
      </c>
      <c r="BT75" s="50" t="s">
        <v>286</v>
      </c>
      <c r="BU75" s="50" t="s">
        <v>312</v>
      </c>
      <c r="BV75" s="50" t="s">
        <v>288</v>
      </c>
      <c r="BW75" s="50" t="s">
        <v>289</v>
      </c>
      <c r="BX75" s="50" t="s">
        <v>290</v>
      </c>
      <c r="BY75" s="50" t="s">
        <v>288</v>
      </c>
      <c r="BZ75" s="50" t="s">
        <v>287</v>
      </c>
      <c r="CA75" s="50"/>
      <c r="CB75" s="50" t="s">
        <v>287</v>
      </c>
      <c r="CC75" s="50" t="s">
        <v>287</v>
      </c>
      <c r="CD75" s="50" t="s">
        <v>287</v>
      </c>
      <c r="CE75" s="50"/>
      <c r="CF75" s="50" t="s">
        <v>287</v>
      </c>
      <c r="CG75" s="50" t="s">
        <v>287</v>
      </c>
      <c r="CH75" s="50" t="s">
        <v>486</v>
      </c>
      <c r="CI75" s="50" t="s">
        <v>287</v>
      </c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1:97" ht="36.75" customHeight="1" thickBot="1">
      <c r="A76" s="49">
        <v>46084.59988425926</v>
      </c>
      <c r="B76" s="50" t="s">
        <v>40</v>
      </c>
      <c r="C76" s="50" t="s">
        <v>46</v>
      </c>
      <c r="D76" s="50" t="s">
        <v>369</v>
      </c>
      <c r="E76" s="50" t="s">
        <v>62</v>
      </c>
      <c r="F76" s="50" t="s">
        <v>286</v>
      </c>
      <c r="G76" s="50" t="s">
        <v>73</v>
      </c>
      <c r="H76" s="50" t="s">
        <v>355</v>
      </c>
      <c r="I76" s="50" t="s">
        <v>81</v>
      </c>
      <c r="J76" s="50" t="s">
        <v>286</v>
      </c>
      <c r="K76" s="50" t="s">
        <v>287</v>
      </c>
      <c r="L76" s="50" t="s">
        <v>336</v>
      </c>
      <c r="M76" s="50" t="s">
        <v>7</v>
      </c>
      <c r="N76" s="111">
        <v>5</v>
      </c>
      <c r="O76" s="111">
        <v>5</v>
      </c>
      <c r="P76" s="111">
        <v>5</v>
      </c>
      <c r="Q76" s="111">
        <v>5</v>
      </c>
      <c r="R76" s="111">
        <v>5</v>
      </c>
      <c r="S76" s="111">
        <v>5</v>
      </c>
      <c r="T76" s="111">
        <v>5</v>
      </c>
      <c r="U76" s="111">
        <v>5</v>
      </c>
      <c r="V76" s="111">
        <v>5</v>
      </c>
      <c r="W76" s="111">
        <v>5</v>
      </c>
      <c r="X76" s="111">
        <v>5</v>
      </c>
      <c r="Y76" s="111">
        <v>5</v>
      </c>
      <c r="Z76" s="111">
        <v>5</v>
      </c>
      <c r="AA76" s="111">
        <v>5</v>
      </c>
      <c r="AB76" s="111">
        <v>5</v>
      </c>
      <c r="AC76" s="111">
        <v>5</v>
      </c>
      <c r="AD76" s="111">
        <v>5</v>
      </c>
      <c r="AE76" s="111">
        <v>5</v>
      </c>
      <c r="AF76" s="111">
        <v>5</v>
      </c>
      <c r="AG76" s="111">
        <v>5</v>
      </c>
      <c r="AH76" s="111">
        <v>5</v>
      </c>
      <c r="AI76" s="111">
        <v>5</v>
      </c>
      <c r="AJ76" s="111">
        <v>5</v>
      </c>
      <c r="AK76" s="111">
        <v>5</v>
      </c>
      <c r="AL76" s="111">
        <v>5</v>
      </c>
      <c r="AM76" s="111">
        <v>5</v>
      </c>
      <c r="AN76" s="111">
        <v>5</v>
      </c>
      <c r="AO76" s="111">
        <v>5</v>
      </c>
      <c r="AP76" s="111">
        <v>5</v>
      </c>
      <c r="AQ76" s="111">
        <v>5</v>
      </c>
      <c r="AR76" s="111">
        <v>5</v>
      </c>
      <c r="AS76" s="111">
        <v>5</v>
      </c>
      <c r="AT76" s="111">
        <v>5</v>
      </c>
      <c r="AU76" s="111">
        <v>5</v>
      </c>
      <c r="AV76" s="50" t="s">
        <v>199</v>
      </c>
      <c r="AW76" s="50" t="s">
        <v>199</v>
      </c>
      <c r="AX76" s="50" t="s">
        <v>199</v>
      </c>
      <c r="AY76" s="50" t="s">
        <v>200</v>
      </c>
      <c r="AZ76" s="50" t="s">
        <v>200</v>
      </c>
      <c r="BA76" s="50" t="s">
        <v>200</v>
      </c>
      <c r="BB76" s="50" t="s">
        <v>200</v>
      </c>
      <c r="BC76" s="50" t="s">
        <v>200</v>
      </c>
      <c r="BD76" s="50" t="s">
        <v>200</v>
      </c>
      <c r="BE76" s="50" t="s">
        <v>200</v>
      </c>
      <c r="BF76" s="50" t="s">
        <v>200</v>
      </c>
      <c r="BG76" s="50" t="s">
        <v>200</v>
      </c>
      <c r="BH76" s="50" t="s">
        <v>200</v>
      </c>
      <c r="BI76" s="50" t="s">
        <v>200</v>
      </c>
      <c r="BJ76" s="50" t="s">
        <v>200</v>
      </c>
      <c r="BK76" s="50" t="s">
        <v>200</v>
      </c>
      <c r="BL76" s="50" t="s">
        <v>200</v>
      </c>
      <c r="BM76" s="50" t="s">
        <v>436</v>
      </c>
      <c r="BN76" s="50" t="s">
        <v>318</v>
      </c>
      <c r="BO76" s="50" t="s">
        <v>91</v>
      </c>
      <c r="BP76" s="50" t="s">
        <v>286</v>
      </c>
      <c r="BQ76" s="50" t="s">
        <v>287</v>
      </c>
      <c r="BR76" s="50" t="s">
        <v>403</v>
      </c>
      <c r="BS76" s="111">
        <v>4</v>
      </c>
      <c r="BT76" s="50" t="s">
        <v>286</v>
      </c>
      <c r="BU76" s="50" t="s">
        <v>312</v>
      </c>
      <c r="BV76" s="50" t="s">
        <v>288</v>
      </c>
      <c r="BW76" s="50" t="s">
        <v>304</v>
      </c>
      <c r="BX76" s="50" t="s">
        <v>296</v>
      </c>
      <c r="BY76" s="50" t="s">
        <v>288</v>
      </c>
      <c r="BZ76" s="50" t="s">
        <v>287</v>
      </c>
      <c r="CA76" s="50"/>
      <c r="CB76" s="50" t="s">
        <v>287</v>
      </c>
      <c r="CC76" s="50" t="s">
        <v>287</v>
      </c>
      <c r="CD76" s="50" t="s">
        <v>287</v>
      </c>
      <c r="CE76" s="50"/>
      <c r="CF76" s="50" t="s">
        <v>287</v>
      </c>
      <c r="CG76" s="50" t="s">
        <v>287</v>
      </c>
      <c r="CH76" s="50" t="s">
        <v>486</v>
      </c>
      <c r="CI76" s="50" t="s">
        <v>287</v>
      </c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1:97" ht="36.75" customHeight="1" thickBot="1">
      <c r="A77" s="49">
        <v>46084.60119212963</v>
      </c>
      <c r="B77" s="50" t="s">
        <v>40</v>
      </c>
      <c r="C77" s="50" t="s">
        <v>45</v>
      </c>
      <c r="D77" s="50" t="s">
        <v>369</v>
      </c>
      <c r="E77" s="50" t="s">
        <v>53</v>
      </c>
      <c r="F77" s="50" t="s">
        <v>286</v>
      </c>
      <c r="G77" s="50" t="s">
        <v>73</v>
      </c>
      <c r="H77" s="50" t="s">
        <v>298</v>
      </c>
      <c r="I77" s="50" t="s">
        <v>91</v>
      </c>
      <c r="J77" s="50" t="s">
        <v>286</v>
      </c>
      <c r="K77" s="50" t="s">
        <v>291</v>
      </c>
      <c r="L77" s="50" t="s">
        <v>286</v>
      </c>
      <c r="M77" s="50" t="s">
        <v>370</v>
      </c>
      <c r="N77" s="111">
        <v>5</v>
      </c>
      <c r="O77" s="111">
        <v>5</v>
      </c>
      <c r="P77" s="111">
        <v>5</v>
      </c>
      <c r="Q77" s="111">
        <v>5</v>
      </c>
      <c r="R77" s="111">
        <v>5</v>
      </c>
      <c r="S77" s="111">
        <v>6</v>
      </c>
      <c r="T77" s="111">
        <v>4</v>
      </c>
      <c r="U77" s="111">
        <v>5</v>
      </c>
      <c r="V77" s="111">
        <v>5</v>
      </c>
      <c r="W77" s="111">
        <v>6</v>
      </c>
      <c r="X77" s="111">
        <v>6</v>
      </c>
      <c r="Y77" s="111">
        <v>6</v>
      </c>
      <c r="Z77" s="111">
        <v>6</v>
      </c>
      <c r="AA77" s="111">
        <v>6</v>
      </c>
      <c r="AB77" s="111">
        <v>6</v>
      </c>
      <c r="AC77" s="111">
        <v>5</v>
      </c>
      <c r="AD77" s="111">
        <v>5</v>
      </c>
      <c r="AE77" s="111">
        <v>5</v>
      </c>
      <c r="AF77" s="111">
        <v>5</v>
      </c>
      <c r="AG77" s="111">
        <v>5</v>
      </c>
      <c r="AH77" s="111">
        <v>5</v>
      </c>
      <c r="AI77" s="111">
        <v>5</v>
      </c>
      <c r="AJ77" s="111">
        <v>5</v>
      </c>
      <c r="AK77" s="111">
        <v>3</v>
      </c>
      <c r="AL77" s="111">
        <v>5</v>
      </c>
      <c r="AM77" s="111">
        <v>5</v>
      </c>
      <c r="AN77" s="111">
        <v>5</v>
      </c>
      <c r="AO77" s="111">
        <v>5</v>
      </c>
      <c r="AP77" s="111">
        <v>5</v>
      </c>
      <c r="AQ77" s="111">
        <v>6</v>
      </c>
      <c r="AR77" s="111">
        <v>5</v>
      </c>
      <c r="AS77" s="111">
        <v>5</v>
      </c>
      <c r="AT77" s="111">
        <v>5</v>
      </c>
      <c r="AU77" s="111">
        <v>5</v>
      </c>
      <c r="AV77" s="50" t="s">
        <v>202</v>
      </c>
      <c r="AW77" s="50" t="s">
        <v>202</v>
      </c>
      <c r="AX77" s="50" t="s">
        <v>201</v>
      </c>
      <c r="AY77" s="50" t="s">
        <v>199</v>
      </c>
      <c r="AZ77" s="50" t="s">
        <v>202</v>
      </c>
      <c r="BA77" s="50" t="s">
        <v>199</v>
      </c>
      <c r="BB77" s="50" t="s">
        <v>201</v>
      </c>
      <c r="BC77" s="50" t="s">
        <v>202</v>
      </c>
      <c r="BD77" s="50" t="s">
        <v>202</v>
      </c>
      <c r="BE77" s="50" t="s">
        <v>202</v>
      </c>
      <c r="BF77" s="50" t="s">
        <v>201</v>
      </c>
      <c r="BG77" s="50" t="s">
        <v>202</v>
      </c>
      <c r="BH77" s="50" t="s">
        <v>200</v>
      </c>
      <c r="BI77" s="50" t="s">
        <v>202</v>
      </c>
      <c r="BJ77" s="50" t="s">
        <v>202</v>
      </c>
      <c r="BK77" s="50" t="s">
        <v>202</v>
      </c>
      <c r="BL77" s="50" t="s">
        <v>202</v>
      </c>
      <c r="BM77" s="50" t="s">
        <v>436</v>
      </c>
      <c r="BN77" s="50" t="s">
        <v>318</v>
      </c>
      <c r="BO77" s="50" t="s">
        <v>91</v>
      </c>
      <c r="BP77" s="50" t="s">
        <v>286</v>
      </c>
      <c r="BQ77" s="50" t="s">
        <v>287</v>
      </c>
      <c r="BR77" s="50" t="s">
        <v>447</v>
      </c>
      <c r="BS77" s="111">
        <v>5</v>
      </c>
      <c r="BT77" s="50" t="s">
        <v>286</v>
      </c>
      <c r="BU77" s="50" t="s">
        <v>348</v>
      </c>
      <c r="BV77" s="50" t="s">
        <v>288</v>
      </c>
      <c r="BW77" s="50" t="s">
        <v>350</v>
      </c>
      <c r="BX77" s="50" t="s">
        <v>387</v>
      </c>
      <c r="BY77" s="50" t="s">
        <v>288</v>
      </c>
      <c r="BZ77" s="50" t="s">
        <v>287</v>
      </c>
      <c r="CA77" s="50"/>
      <c r="CB77" s="50" t="s">
        <v>287</v>
      </c>
      <c r="CC77" s="50" t="s">
        <v>287</v>
      </c>
      <c r="CD77" s="50" t="s">
        <v>287</v>
      </c>
      <c r="CE77" s="50"/>
      <c r="CF77" s="50" t="s">
        <v>287</v>
      </c>
      <c r="CG77" s="50" t="s">
        <v>287</v>
      </c>
      <c r="CH77" s="50" t="s">
        <v>486</v>
      </c>
      <c r="CI77" s="50" t="s">
        <v>287</v>
      </c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1:97" ht="36.75" customHeight="1" thickBot="1">
      <c r="A78" s="49">
        <v>46084.602754629632</v>
      </c>
      <c r="B78" s="50" t="s">
        <v>40</v>
      </c>
      <c r="C78" s="50" t="s">
        <v>45</v>
      </c>
      <c r="D78" s="50" t="s">
        <v>374</v>
      </c>
      <c r="E78" s="50" t="s">
        <v>65</v>
      </c>
      <c r="F78" s="50" t="s">
        <v>286</v>
      </c>
      <c r="G78" s="50" t="s">
        <v>74</v>
      </c>
      <c r="H78" s="50" t="s">
        <v>446</v>
      </c>
      <c r="I78" s="50" t="s">
        <v>81</v>
      </c>
      <c r="J78" s="50" t="s">
        <v>286</v>
      </c>
      <c r="K78" s="50" t="s">
        <v>287</v>
      </c>
      <c r="L78" s="50" t="s">
        <v>336</v>
      </c>
      <c r="M78" s="50" t="s">
        <v>7</v>
      </c>
      <c r="N78" s="111">
        <v>5</v>
      </c>
      <c r="O78" s="111">
        <v>5</v>
      </c>
      <c r="P78" s="111">
        <v>5</v>
      </c>
      <c r="Q78" s="111">
        <v>5</v>
      </c>
      <c r="R78" s="111">
        <v>5</v>
      </c>
      <c r="S78" s="111">
        <v>5</v>
      </c>
      <c r="T78" s="111">
        <v>5</v>
      </c>
      <c r="U78" s="111">
        <v>5</v>
      </c>
      <c r="V78" s="111">
        <v>5</v>
      </c>
      <c r="W78" s="111">
        <v>5</v>
      </c>
      <c r="X78" s="111">
        <v>5</v>
      </c>
      <c r="Y78" s="111">
        <v>5</v>
      </c>
      <c r="Z78" s="111">
        <v>5</v>
      </c>
      <c r="AA78" s="111">
        <v>5</v>
      </c>
      <c r="AB78" s="111">
        <v>5</v>
      </c>
      <c r="AC78" s="111">
        <v>5</v>
      </c>
      <c r="AD78" s="111">
        <v>5</v>
      </c>
      <c r="AE78" s="111">
        <v>5</v>
      </c>
      <c r="AF78" s="111">
        <v>5</v>
      </c>
      <c r="AG78" s="111">
        <v>5</v>
      </c>
      <c r="AH78" s="111">
        <v>5</v>
      </c>
      <c r="AI78" s="111">
        <v>5</v>
      </c>
      <c r="AJ78" s="111">
        <v>5</v>
      </c>
      <c r="AK78" s="111">
        <v>5</v>
      </c>
      <c r="AL78" s="111">
        <v>5</v>
      </c>
      <c r="AM78" s="111">
        <v>5</v>
      </c>
      <c r="AN78" s="111">
        <v>5</v>
      </c>
      <c r="AO78" s="111">
        <v>5</v>
      </c>
      <c r="AP78" s="111">
        <v>5</v>
      </c>
      <c r="AQ78" s="111">
        <v>5</v>
      </c>
      <c r="AR78" s="111">
        <v>5</v>
      </c>
      <c r="AS78" s="111">
        <v>5</v>
      </c>
      <c r="AT78" s="111">
        <v>5</v>
      </c>
      <c r="AU78" s="111">
        <v>5</v>
      </c>
      <c r="AV78" s="50" t="s">
        <v>199</v>
      </c>
      <c r="AW78" s="50" t="s">
        <v>199</v>
      </c>
      <c r="AX78" s="50" t="s">
        <v>199</v>
      </c>
      <c r="AY78" s="50" t="s">
        <v>200</v>
      </c>
      <c r="AZ78" s="50" t="s">
        <v>200</v>
      </c>
      <c r="BA78" s="50" t="s">
        <v>200</v>
      </c>
      <c r="BB78" s="50" t="s">
        <v>200</v>
      </c>
      <c r="BC78" s="50" t="s">
        <v>200</v>
      </c>
      <c r="BD78" s="50" t="s">
        <v>200</v>
      </c>
      <c r="BE78" s="50" t="s">
        <v>200</v>
      </c>
      <c r="BF78" s="50" t="s">
        <v>200</v>
      </c>
      <c r="BG78" s="50" t="s">
        <v>200</v>
      </c>
      <c r="BH78" s="50" t="s">
        <v>200</v>
      </c>
      <c r="BI78" s="50" t="s">
        <v>200</v>
      </c>
      <c r="BJ78" s="50" t="s">
        <v>200</v>
      </c>
      <c r="BK78" s="50" t="s">
        <v>200</v>
      </c>
      <c r="BL78" s="50" t="s">
        <v>200</v>
      </c>
      <c r="BM78" s="50" t="s">
        <v>436</v>
      </c>
      <c r="BN78" s="50" t="s">
        <v>318</v>
      </c>
      <c r="BO78" s="50" t="s">
        <v>91</v>
      </c>
      <c r="BP78" s="50" t="s">
        <v>286</v>
      </c>
      <c r="BQ78" s="50" t="s">
        <v>287</v>
      </c>
      <c r="BR78" s="50" t="s">
        <v>413</v>
      </c>
      <c r="BS78" s="111">
        <v>4</v>
      </c>
      <c r="BT78" s="50" t="s">
        <v>286</v>
      </c>
      <c r="BU78" s="50" t="s">
        <v>312</v>
      </c>
      <c r="BV78" s="50" t="s">
        <v>288</v>
      </c>
      <c r="BW78" s="50" t="s">
        <v>303</v>
      </c>
      <c r="BX78" s="50" t="s">
        <v>296</v>
      </c>
      <c r="BY78" s="50" t="s">
        <v>288</v>
      </c>
      <c r="BZ78" s="50" t="s">
        <v>287</v>
      </c>
      <c r="CA78" s="50"/>
      <c r="CB78" s="50" t="s">
        <v>287</v>
      </c>
      <c r="CC78" s="50" t="s">
        <v>287</v>
      </c>
      <c r="CD78" s="50" t="s">
        <v>287</v>
      </c>
      <c r="CE78" s="50"/>
      <c r="CF78" s="50" t="s">
        <v>287</v>
      </c>
      <c r="CG78" s="50" t="s">
        <v>287</v>
      </c>
      <c r="CH78" s="50" t="s">
        <v>486</v>
      </c>
      <c r="CI78" s="50" t="s">
        <v>287</v>
      </c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1:97" ht="36.75" customHeight="1" thickBot="1">
      <c r="A79" s="49">
        <v>46084.604907407411</v>
      </c>
      <c r="B79" s="50" t="s">
        <v>36</v>
      </c>
      <c r="C79" s="50" t="s">
        <v>45</v>
      </c>
      <c r="D79" s="50" t="s">
        <v>374</v>
      </c>
      <c r="E79" s="50" t="s">
        <v>66</v>
      </c>
      <c r="F79" s="50" t="s">
        <v>286</v>
      </c>
      <c r="G79" s="50" t="s">
        <v>74</v>
      </c>
      <c r="H79" s="50" t="s">
        <v>363</v>
      </c>
      <c r="I79" s="50" t="s">
        <v>92</v>
      </c>
      <c r="J79" s="50" t="s">
        <v>286</v>
      </c>
      <c r="K79" s="50" t="s">
        <v>287</v>
      </c>
      <c r="L79" s="50" t="s">
        <v>336</v>
      </c>
      <c r="M79" s="50" t="s">
        <v>7</v>
      </c>
      <c r="N79" s="111">
        <v>5</v>
      </c>
      <c r="O79" s="111">
        <v>5</v>
      </c>
      <c r="P79" s="111">
        <v>5</v>
      </c>
      <c r="Q79" s="111">
        <v>5</v>
      </c>
      <c r="R79" s="111">
        <v>5</v>
      </c>
      <c r="S79" s="111">
        <v>5</v>
      </c>
      <c r="T79" s="111">
        <v>5</v>
      </c>
      <c r="U79" s="111">
        <v>5</v>
      </c>
      <c r="V79" s="111">
        <v>5</v>
      </c>
      <c r="W79" s="111">
        <v>5</v>
      </c>
      <c r="X79" s="111">
        <v>5</v>
      </c>
      <c r="Y79" s="111">
        <v>5</v>
      </c>
      <c r="Z79" s="111">
        <v>5</v>
      </c>
      <c r="AA79" s="111">
        <v>5</v>
      </c>
      <c r="AB79" s="111">
        <v>5</v>
      </c>
      <c r="AC79" s="111">
        <v>5</v>
      </c>
      <c r="AD79" s="111">
        <v>5</v>
      </c>
      <c r="AE79" s="111">
        <v>5</v>
      </c>
      <c r="AF79" s="111">
        <v>5</v>
      </c>
      <c r="AG79" s="111">
        <v>5</v>
      </c>
      <c r="AH79" s="111">
        <v>5</v>
      </c>
      <c r="AI79" s="111">
        <v>5</v>
      </c>
      <c r="AJ79" s="111">
        <v>5</v>
      </c>
      <c r="AK79" s="111">
        <v>5</v>
      </c>
      <c r="AL79" s="111">
        <v>5</v>
      </c>
      <c r="AM79" s="111">
        <v>5</v>
      </c>
      <c r="AN79" s="111">
        <v>5</v>
      </c>
      <c r="AO79" s="111">
        <v>5</v>
      </c>
      <c r="AP79" s="111">
        <v>5</v>
      </c>
      <c r="AQ79" s="111">
        <v>5</v>
      </c>
      <c r="AR79" s="111">
        <v>5</v>
      </c>
      <c r="AS79" s="111">
        <v>5</v>
      </c>
      <c r="AT79" s="111">
        <v>5</v>
      </c>
      <c r="AU79" s="111">
        <v>5</v>
      </c>
      <c r="AV79" s="50" t="s">
        <v>199</v>
      </c>
      <c r="AW79" s="50" t="s">
        <v>199</v>
      </c>
      <c r="AX79" s="50" t="s">
        <v>199</v>
      </c>
      <c r="AY79" s="50" t="s">
        <v>200</v>
      </c>
      <c r="AZ79" s="50" t="s">
        <v>200</v>
      </c>
      <c r="BA79" s="50" t="s">
        <v>200</v>
      </c>
      <c r="BB79" s="50" t="s">
        <v>200</v>
      </c>
      <c r="BC79" s="50" t="s">
        <v>200</v>
      </c>
      <c r="BD79" s="50" t="s">
        <v>200</v>
      </c>
      <c r="BE79" s="50" t="s">
        <v>200</v>
      </c>
      <c r="BF79" s="50" t="s">
        <v>200</v>
      </c>
      <c r="BG79" s="50" t="s">
        <v>200</v>
      </c>
      <c r="BH79" s="50" t="s">
        <v>200</v>
      </c>
      <c r="BI79" s="50" t="s">
        <v>200</v>
      </c>
      <c r="BJ79" s="50" t="s">
        <v>200</v>
      </c>
      <c r="BK79" s="50" t="s">
        <v>200</v>
      </c>
      <c r="BL79" s="50" t="s">
        <v>200</v>
      </c>
      <c r="BM79" s="50" t="s">
        <v>436</v>
      </c>
      <c r="BN79" s="50" t="s">
        <v>318</v>
      </c>
      <c r="BO79" s="50" t="s">
        <v>91</v>
      </c>
      <c r="BP79" s="50" t="s">
        <v>286</v>
      </c>
      <c r="BQ79" s="50" t="s">
        <v>287</v>
      </c>
      <c r="BR79" s="50" t="s">
        <v>373</v>
      </c>
      <c r="BS79" s="111">
        <v>4</v>
      </c>
      <c r="BT79" s="50" t="s">
        <v>286</v>
      </c>
      <c r="BU79" s="50" t="s">
        <v>312</v>
      </c>
      <c r="BV79" s="50" t="s">
        <v>288</v>
      </c>
      <c r="BW79" s="50" t="s">
        <v>293</v>
      </c>
      <c r="BX79" s="50" t="s">
        <v>290</v>
      </c>
      <c r="BY79" s="50" t="s">
        <v>288</v>
      </c>
      <c r="BZ79" s="50" t="s">
        <v>287</v>
      </c>
      <c r="CA79" s="50"/>
      <c r="CB79" s="50" t="s">
        <v>287</v>
      </c>
      <c r="CC79" s="50" t="s">
        <v>287</v>
      </c>
      <c r="CD79" s="50" t="s">
        <v>287</v>
      </c>
      <c r="CE79" s="50"/>
      <c r="CF79" s="50" t="s">
        <v>287</v>
      </c>
      <c r="CG79" s="50" t="s">
        <v>287</v>
      </c>
      <c r="CH79" s="50" t="s">
        <v>486</v>
      </c>
      <c r="CI79" s="50" t="s">
        <v>287</v>
      </c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1:97" ht="36.75" customHeight="1" thickBot="1">
      <c r="A80" s="49">
        <v>46084.606493055559</v>
      </c>
      <c r="B80" s="50" t="s">
        <v>39</v>
      </c>
      <c r="C80" s="50" t="s">
        <v>45</v>
      </c>
      <c r="D80" s="50" t="s">
        <v>385</v>
      </c>
      <c r="E80" s="50" t="s">
        <v>60</v>
      </c>
      <c r="F80" s="50" t="s">
        <v>440</v>
      </c>
      <c r="G80" s="50" t="s">
        <v>73</v>
      </c>
      <c r="H80" s="50" t="s">
        <v>286</v>
      </c>
      <c r="I80" s="50" t="s">
        <v>81</v>
      </c>
      <c r="J80" s="50" t="s">
        <v>286</v>
      </c>
      <c r="K80" s="50" t="s">
        <v>287</v>
      </c>
      <c r="L80" s="50" t="s">
        <v>379</v>
      </c>
      <c r="M80" s="50" t="s">
        <v>370</v>
      </c>
      <c r="N80" s="111">
        <v>5</v>
      </c>
      <c r="O80" s="111">
        <v>5</v>
      </c>
      <c r="P80" s="111">
        <v>5</v>
      </c>
      <c r="Q80" s="111">
        <v>5</v>
      </c>
      <c r="R80" s="111">
        <v>6</v>
      </c>
      <c r="S80" s="111">
        <v>6</v>
      </c>
      <c r="T80" s="111">
        <v>4</v>
      </c>
      <c r="U80" s="111">
        <v>5</v>
      </c>
      <c r="V80" s="111">
        <v>6</v>
      </c>
      <c r="W80" s="111">
        <v>6</v>
      </c>
      <c r="X80" s="111">
        <v>6</v>
      </c>
      <c r="Y80" s="111">
        <v>6</v>
      </c>
      <c r="Z80" s="111">
        <v>6</v>
      </c>
      <c r="AA80" s="111">
        <v>6</v>
      </c>
      <c r="AB80" s="111">
        <v>6</v>
      </c>
      <c r="AC80" s="111">
        <v>5</v>
      </c>
      <c r="AD80" s="111">
        <v>5</v>
      </c>
      <c r="AE80" s="111">
        <v>5</v>
      </c>
      <c r="AF80" s="111">
        <v>5</v>
      </c>
      <c r="AG80" s="111">
        <v>5</v>
      </c>
      <c r="AH80" s="111">
        <v>5</v>
      </c>
      <c r="AI80" s="111">
        <v>5</v>
      </c>
      <c r="AJ80" s="111">
        <v>5</v>
      </c>
      <c r="AK80" s="111">
        <v>5</v>
      </c>
      <c r="AL80" s="111">
        <v>5</v>
      </c>
      <c r="AM80" s="111">
        <v>5</v>
      </c>
      <c r="AN80" s="111">
        <v>5</v>
      </c>
      <c r="AO80" s="111">
        <v>5</v>
      </c>
      <c r="AP80" s="111">
        <v>5</v>
      </c>
      <c r="AQ80" s="111">
        <v>6</v>
      </c>
      <c r="AR80" s="111">
        <v>5</v>
      </c>
      <c r="AS80" s="111">
        <v>5</v>
      </c>
      <c r="AT80" s="111">
        <v>5</v>
      </c>
      <c r="AU80" s="111">
        <v>5</v>
      </c>
      <c r="AV80" s="50" t="s">
        <v>202</v>
      </c>
      <c r="AW80" s="50" t="s">
        <v>202</v>
      </c>
      <c r="AX80" s="50" t="s">
        <v>201</v>
      </c>
      <c r="AY80" s="50" t="s">
        <v>199</v>
      </c>
      <c r="AZ80" s="50" t="s">
        <v>202</v>
      </c>
      <c r="BA80" s="50" t="s">
        <v>199</v>
      </c>
      <c r="BB80" s="50" t="s">
        <v>202</v>
      </c>
      <c r="BC80" s="50" t="s">
        <v>202</v>
      </c>
      <c r="BD80" s="50" t="s">
        <v>202</v>
      </c>
      <c r="BE80" s="50" t="s">
        <v>199</v>
      </c>
      <c r="BF80" s="50" t="s">
        <v>201</v>
      </c>
      <c r="BG80" s="50" t="s">
        <v>202</v>
      </c>
      <c r="BH80" s="50" t="s">
        <v>201</v>
      </c>
      <c r="BI80" s="50" t="s">
        <v>202</v>
      </c>
      <c r="BJ80" s="50" t="s">
        <v>202</v>
      </c>
      <c r="BK80" s="50" t="s">
        <v>202</v>
      </c>
      <c r="BL80" s="50" t="s">
        <v>202</v>
      </c>
      <c r="BM80" s="50" t="s">
        <v>436</v>
      </c>
      <c r="BN80" s="50" t="s">
        <v>358</v>
      </c>
      <c r="BO80" s="50" t="s">
        <v>91</v>
      </c>
      <c r="BP80" s="50" t="s">
        <v>286</v>
      </c>
      <c r="BQ80" s="50" t="s">
        <v>287</v>
      </c>
      <c r="BR80" s="50" t="s">
        <v>386</v>
      </c>
      <c r="BS80" s="111">
        <v>5</v>
      </c>
      <c r="BT80" s="50" t="s">
        <v>286</v>
      </c>
      <c r="BU80" s="50" t="s">
        <v>348</v>
      </c>
      <c r="BV80" s="50" t="s">
        <v>288</v>
      </c>
      <c r="BW80" s="50" t="s">
        <v>350</v>
      </c>
      <c r="BX80" s="50" t="s">
        <v>387</v>
      </c>
      <c r="BY80" s="50" t="s">
        <v>288</v>
      </c>
      <c r="BZ80" s="50" t="s">
        <v>287</v>
      </c>
      <c r="CA80" s="50"/>
      <c r="CB80" s="50" t="s">
        <v>287</v>
      </c>
      <c r="CC80" s="50" t="s">
        <v>287</v>
      </c>
      <c r="CD80" s="50" t="s">
        <v>287</v>
      </c>
      <c r="CE80" s="50"/>
      <c r="CF80" s="50" t="s">
        <v>287</v>
      </c>
      <c r="CG80" s="50" t="s">
        <v>287</v>
      </c>
      <c r="CH80" s="50" t="s">
        <v>486</v>
      </c>
      <c r="CI80" s="50" t="s">
        <v>287</v>
      </c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1:97" ht="36.75" customHeight="1" thickBot="1">
      <c r="A81" s="49">
        <v>46084.609259259261</v>
      </c>
      <c r="B81" s="50" t="s">
        <v>40</v>
      </c>
      <c r="C81" s="50" t="s">
        <v>45</v>
      </c>
      <c r="D81" s="50" t="s">
        <v>374</v>
      </c>
      <c r="E81" s="50" t="s">
        <v>61</v>
      </c>
      <c r="F81" s="50" t="s">
        <v>286</v>
      </c>
      <c r="G81" s="50" t="s">
        <v>74</v>
      </c>
      <c r="H81" s="50" t="s">
        <v>299</v>
      </c>
      <c r="I81" s="50" t="s">
        <v>91</v>
      </c>
      <c r="J81" s="50" t="s">
        <v>286</v>
      </c>
      <c r="K81" s="50" t="s">
        <v>291</v>
      </c>
      <c r="L81" s="50" t="s">
        <v>286</v>
      </c>
      <c r="M81" s="50" t="s">
        <v>370</v>
      </c>
      <c r="N81" s="111">
        <v>5</v>
      </c>
      <c r="O81" s="111">
        <v>5</v>
      </c>
      <c r="P81" s="111">
        <v>5</v>
      </c>
      <c r="Q81" s="111">
        <v>6</v>
      </c>
      <c r="R81" s="111">
        <v>6</v>
      </c>
      <c r="S81" s="111">
        <v>6</v>
      </c>
      <c r="T81" s="111">
        <v>5</v>
      </c>
      <c r="U81" s="111">
        <v>5</v>
      </c>
      <c r="V81" s="111">
        <v>6</v>
      </c>
      <c r="W81" s="111">
        <v>6</v>
      </c>
      <c r="X81" s="111">
        <v>6</v>
      </c>
      <c r="Y81" s="111">
        <v>6</v>
      </c>
      <c r="Z81" s="111">
        <v>6</v>
      </c>
      <c r="AA81" s="111">
        <v>6</v>
      </c>
      <c r="AB81" s="111">
        <v>6</v>
      </c>
      <c r="AC81" s="111">
        <v>4</v>
      </c>
      <c r="AD81" s="111">
        <v>4</v>
      </c>
      <c r="AE81" s="111">
        <v>4</v>
      </c>
      <c r="AF81" s="111">
        <v>4</v>
      </c>
      <c r="AG81" s="111">
        <v>4</v>
      </c>
      <c r="AH81" s="111">
        <v>4</v>
      </c>
      <c r="AI81" s="111">
        <v>4</v>
      </c>
      <c r="AJ81" s="111">
        <v>4</v>
      </c>
      <c r="AK81" s="111">
        <v>3</v>
      </c>
      <c r="AL81" s="111">
        <v>5</v>
      </c>
      <c r="AM81" s="111">
        <v>6</v>
      </c>
      <c r="AN81" s="111">
        <v>5</v>
      </c>
      <c r="AO81" s="111">
        <v>5</v>
      </c>
      <c r="AP81" s="111">
        <v>5</v>
      </c>
      <c r="AQ81" s="111">
        <v>6</v>
      </c>
      <c r="AR81" s="111">
        <v>5</v>
      </c>
      <c r="AS81" s="111">
        <v>5</v>
      </c>
      <c r="AT81" s="111">
        <v>5</v>
      </c>
      <c r="AU81" s="111">
        <v>5</v>
      </c>
      <c r="AV81" s="50" t="s">
        <v>202</v>
      </c>
      <c r="AW81" s="50" t="s">
        <v>202</v>
      </c>
      <c r="AX81" s="50" t="s">
        <v>201</v>
      </c>
      <c r="AY81" s="50" t="s">
        <v>199</v>
      </c>
      <c r="AZ81" s="50" t="s">
        <v>202</v>
      </c>
      <c r="BA81" s="50" t="s">
        <v>199</v>
      </c>
      <c r="BB81" s="50" t="s">
        <v>202</v>
      </c>
      <c r="BC81" s="50" t="s">
        <v>202</v>
      </c>
      <c r="BD81" s="50" t="s">
        <v>202</v>
      </c>
      <c r="BE81" s="50" t="s">
        <v>200</v>
      </c>
      <c r="BF81" s="50" t="s">
        <v>201</v>
      </c>
      <c r="BG81" s="50" t="s">
        <v>202</v>
      </c>
      <c r="BH81" s="50" t="s">
        <v>200</v>
      </c>
      <c r="BI81" s="50" t="s">
        <v>202</v>
      </c>
      <c r="BJ81" s="50" t="s">
        <v>202</v>
      </c>
      <c r="BK81" s="50" t="s">
        <v>202</v>
      </c>
      <c r="BL81" s="50" t="s">
        <v>202</v>
      </c>
      <c r="BM81" s="50" t="s">
        <v>436</v>
      </c>
      <c r="BN81" s="50" t="s">
        <v>435</v>
      </c>
      <c r="BO81" s="50" t="s">
        <v>91</v>
      </c>
      <c r="BP81" s="50" t="s">
        <v>286</v>
      </c>
      <c r="BQ81" s="50" t="s">
        <v>287</v>
      </c>
      <c r="BR81" s="50" t="s">
        <v>449</v>
      </c>
      <c r="BS81" s="111">
        <v>5</v>
      </c>
      <c r="BT81" s="50" t="s">
        <v>286</v>
      </c>
      <c r="BU81" s="50" t="s">
        <v>348</v>
      </c>
      <c r="BV81" s="50" t="s">
        <v>288</v>
      </c>
      <c r="BW81" s="50" t="s">
        <v>350</v>
      </c>
      <c r="BX81" s="50" t="s">
        <v>294</v>
      </c>
      <c r="BY81" s="50" t="s">
        <v>288</v>
      </c>
      <c r="BZ81" s="50" t="s">
        <v>287</v>
      </c>
      <c r="CA81" s="50"/>
      <c r="CB81" s="50" t="s">
        <v>287</v>
      </c>
      <c r="CC81" s="50" t="s">
        <v>287</v>
      </c>
      <c r="CD81" s="50" t="s">
        <v>287</v>
      </c>
      <c r="CE81" s="50"/>
      <c r="CF81" s="50" t="s">
        <v>287</v>
      </c>
      <c r="CG81" s="50" t="s">
        <v>287</v>
      </c>
      <c r="CH81" s="50" t="s">
        <v>486</v>
      </c>
      <c r="CI81" s="50" t="s">
        <v>287</v>
      </c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1:97" ht="36.75" customHeight="1" thickBot="1">
      <c r="A82" s="49">
        <v>46084.622858796298</v>
      </c>
      <c r="B82" s="50" t="s">
        <v>36</v>
      </c>
      <c r="C82" s="50" t="s">
        <v>46</v>
      </c>
      <c r="D82" s="50" t="s">
        <v>374</v>
      </c>
      <c r="E82" s="50" t="s">
        <v>61</v>
      </c>
      <c r="F82" s="50" t="s">
        <v>286</v>
      </c>
      <c r="G82" s="50" t="s">
        <v>74</v>
      </c>
      <c r="H82" s="50" t="s">
        <v>429</v>
      </c>
      <c r="I82" s="50" t="s">
        <v>91</v>
      </c>
      <c r="J82" s="50" t="s">
        <v>286</v>
      </c>
      <c r="K82" s="50" t="s">
        <v>291</v>
      </c>
      <c r="L82" s="50" t="s">
        <v>286</v>
      </c>
      <c r="M82" s="50" t="s">
        <v>370</v>
      </c>
      <c r="N82" s="111">
        <v>5</v>
      </c>
      <c r="O82" s="111">
        <v>5</v>
      </c>
      <c r="P82" s="111">
        <v>5</v>
      </c>
      <c r="Q82" s="111">
        <v>5</v>
      </c>
      <c r="R82" s="111">
        <v>5</v>
      </c>
      <c r="S82" s="111">
        <v>6</v>
      </c>
      <c r="T82" s="111">
        <v>5</v>
      </c>
      <c r="U82" s="111">
        <v>5</v>
      </c>
      <c r="V82" s="111">
        <v>6</v>
      </c>
      <c r="W82" s="111">
        <v>6</v>
      </c>
      <c r="X82" s="111">
        <v>6</v>
      </c>
      <c r="Y82" s="111">
        <v>6</v>
      </c>
      <c r="Z82" s="111">
        <v>6</v>
      </c>
      <c r="AA82" s="111">
        <v>6</v>
      </c>
      <c r="AB82" s="111">
        <v>6</v>
      </c>
      <c r="AC82" s="111">
        <v>5</v>
      </c>
      <c r="AD82" s="111">
        <v>5</v>
      </c>
      <c r="AE82" s="111">
        <v>5</v>
      </c>
      <c r="AF82" s="111">
        <v>5</v>
      </c>
      <c r="AG82" s="111">
        <v>5</v>
      </c>
      <c r="AH82" s="111">
        <v>5</v>
      </c>
      <c r="AI82" s="111">
        <v>5</v>
      </c>
      <c r="AJ82" s="111">
        <v>5</v>
      </c>
      <c r="AK82" s="111">
        <v>5</v>
      </c>
      <c r="AL82" s="111">
        <v>5</v>
      </c>
      <c r="AM82" s="111">
        <v>5</v>
      </c>
      <c r="AN82" s="111">
        <v>5</v>
      </c>
      <c r="AO82" s="111">
        <v>5</v>
      </c>
      <c r="AP82" s="111">
        <v>5</v>
      </c>
      <c r="AQ82" s="111">
        <v>6</v>
      </c>
      <c r="AR82" s="111">
        <v>5</v>
      </c>
      <c r="AS82" s="111">
        <v>5</v>
      </c>
      <c r="AT82" s="111">
        <v>5</v>
      </c>
      <c r="AU82" s="111">
        <v>5</v>
      </c>
      <c r="AV82" s="50" t="s">
        <v>202</v>
      </c>
      <c r="AW82" s="50" t="s">
        <v>202</v>
      </c>
      <c r="AX82" s="50" t="s">
        <v>201</v>
      </c>
      <c r="AY82" s="50" t="s">
        <v>199</v>
      </c>
      <c r="AZ82" s="50" t="s">
        <v>202</v>
      </c>
      <c r="BA82" s="50" t="s">
        <v>199</v>
      </c>
      <c r="BB82" s="50" t="s">
        <v>202</v>
      </c>
      <c r="BC82" s="50" t="s">
        <v>202</v>
      </c>
      <c r="BD82" s="50" t="s">
        <v>202</v>
      </c>
      <c r="BE82" s="50" t="s">
        <v>199</v>
      </c>
      <c r="BF82" s="50" t="s">
        <v>201</v>
      </c>
      <c r="BG82" s="50" t="s">
        <v>202</v>
      </c>
      <c r="BH82" s="50" t="s">
        <v>200</v>
      </c>
      <c r="BI82" s="50" t="s">
        <v>202</v>
      </c>
      <c r="BJ82" s="50" t="s">
        <v>202</v>
      </c>
      <c r="BK82" s="50" t="s">
        <v>202</v>
      </c>
      <c r="BL82" s="50" t="s">
        <v>202</v>
      </c>
      <c r="BM82" s="50" t="s">
        <v>436</v>
      </c>
      <c r="BN82" s="50" t="s">
        <v>318</v>
      </c>
      <c r="BO82" s="50" t="s">
        <v>91</v>
      </c>
      <c r="BP82" s="50" t="s">
        <v>286</v>
      </c>
      <c r="BQ82" s="50" t="s">
        <v>287</v>
      </c>
      <c r="BR82" s="50" t="s">
        <v>372</v>
      </c>
      <c r="BS82" s="111">
        <v>5</v>
      </c>
      <c r="BT82" s="50" t="s">
        <v>286</v>
      </c>
      <c r="BU82" s="50" t="s">
        <v>348</v>
      </c>
      <c r="BV82" s="50" t="s">
        <v>288</v>
      </c>
      <c r="BW82" s="50" t="s">
        <v>350</v>
      </c>
      <c r="BX82" s="50" t="s">
        <v>387</v>
      </c>
      <c r="BY82" s="50" t="s">
        <v>288</v>
      </c>
      <c r="BZ82" s="50" t="s">
        <v>287</v>
      </c>
      <c r="CA82" s="50"/>
      <c r="CB82" s="50" t="s">
        <v>287</v>
      </c>
      <c r="CC82" s="50" t="s">
        <v>287</v>
      </c>
      <c r="CD82" s="50" t="s">
        <v>287</v>
      </c>
      <c r="CE82" s="50"/>
      <c r="CF82" s="50" t="s">
        <v>287</v>
      </c>
      <c r="CG82" s="50" t="s">
        <v>287</v>
      </c>
      <c r="CH82" s="50" t="s">
        <v>486</v>
      </c>
      <c r="CI82" s="50" t="s">
        <v>287</v>
      </c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1:97" ht="36.75" customHeight="1" thickBot="1">
      <c r="A83" s="49">
        <v>46085.244351851848</v>
      </c>
      <c r="B83" s="50" t="s">
        <v>33</v>
      </c>
      <c r="C83" s="50" t="s">
        <v>45</v>
      </c>
      <c r="D83" s="50" t="s">
        <v>369</v>
      </c>
      <c r="E83" s="50" t="s">
        <v>285</v>
      </c>
      <c r="F83" s="50" t="s">
        <v>286</v>
      </c>
      <c r="G83" s="50" t="s">
        <v>292</v>
      </c>
      <c r="H83" s="50" t="s">
        <v>309</v>
      </c>
      <c r="I83" s="50" t="s">
        <v>295</v>
      </c>
      <c r="J83" s="50" t="s">
        <v>286</v>
      </c>
      <c r="K83" s="50" t="s">
        <v>287</v>
      </c>
      <c r="L83" s="50" t="s">
        <v>310</v>
      </c>
      <c r="M83" s="50" t="s">
        <v>311</v>
      </c>
      <c r="N83" s="111">
        <v>5</v>
      </c>
      <c r="O83" s="111">
        <v>5</v>
      </c>
      <c r="P83" s="111">
        <v>5</v>
      </c>
      <c r="Q83" s="111">
        <v>5</v>
      </c>
      <c r="R83" s="111">
        <v>5</v>
      </c>
      <c r="S83" s="111">
        <v>5</v>
      </c>
      <c r="T83" s="111">
        <v>5</v>
      </c>
      <c r="U83" s="111">
        <v>5</v>
      </c>
      <c r="V83" s="111">
        <v>5</v>
      </c>
      <c r="W83" s="111">
        <v>5</v>
      </c>
      <c r="X83" s="111">
        <v>5</v>
      </c>
      <c r="Y83" s="111">
        <v>5</v>
      </c>
      <c r="Z83" s="111">
        <v>5</v>
      </c>
      <c r="AA83" s="111">
        <v>5</v>
      </c>
      <c r="AB83" s="111">
        <v>5</v>
      </c>
      <c r="AC83" s="111">
        <v>5</v>
      </c>
      <c r="AD83" s="111">
        <v>5</v>
      </c>
      <c r="AE83" s="111">
        <v>5</v>
      </c>
      <c r="AF83" s="111">
        <v>5</v>
      </c>
      <c r="AG83" s="111">
        <v>5</v>
      </c>
      <c r="AH83" s="111">
        <v>5</v>
      </c>
      <c r="AI83" s="111">
        <v>5</v>
      </c>
      <c r="AJ83" s="111">
        <v>5</v>
      </c>
      <c r="AK83" s="111">
        <v>5</v>
      </c>
      <c r="AL83" s="111">
        <v>5</v>
      </c>
      <c r="AM83" s="111">
        <v>5</v>
      </c>
      <c r="AN83" s="111">
        <v>5</v>
      </c>
      <c r="AO83" s="111">
        <v>5</v>
      </c>
      <c r="AP83" s="111">
        <v>5</v>
      </c>
      <c r="AQ83" s="111">
        <v>5</v>
      </c>
      <c r="AR83" s="111">
        <v>5</v>
      </c>
      <c r="AS83" s="111">
        <v>5</v>
      </c>
      <c r="AT83" s="111">
        <v>5</v>
      </c>
      <c r="AU83" s="111">
        <v>5</v>
      </c>
      <c r="AV83" s="50" t="s">
        <v>199</v>
      </c>
      <c r="AW83" s="50" t="s">
        <v>199</v>
      </c>
      <c r="AX83" s="50" t="s">
        <v>199</v>
      </c>
      <c r="AY83" s="50" t="s">
        <v>200</v>
      </c>
      <c r="AZ83" s="50" t="s">
        <v>200</v>
      </c>
      <c r="BA83" s="50" t="s">
        <v>200</v>
      </c>
      <c r="BB83" s="50" t="s">
        <v>200</v>
      </c>
      <c r="BC83" s="50" t="s">
        <v>200</v>
      </c>
      <c r="BD83" s="50" t="s">
        <v>200</v>
      </c>
      <c r="BE83" s="50" t="s">
        <v>200</v>
      </c>
      <c r="BF83" s="50" t="s">
        <v>200</v>
      </c>
      <c r="BG83" s="50" t="s">
        <v>200</v>
      </c>
      <c r="BH83" s="50" t="s">
        <v>200</v>
      </c>
      <c r="BI83" s="50" t="s">
        <v>200</v>
      </c>
      <c r="BJ83" s="50" t="s">
        <v>200</v>
      </c>
      <c r="BK83" s="50" t="s">
        <v>200</v>
      </c>
      <c r="BL83" s="50" t="s">
        <v>200</v>
      </c>
      <c r="BM83" s="50" t="s">
        <v>436</v>
      </c>
      <c r="BN83" s="50" t="s">
        <v>318</v>
      </c>
      <c r="BO83" s="50" t="s">
        <v>91</v>
      </c>
      <c r="BP83" s="50" t="s">
        <v>286</v>
      </c>
      <c r="BQ83" s="50" t="s">
        <v>287</v>
      </c>
      <c r="BR83" s="50" t="s">
        <v>403</v>
      </c>
      <c r="BS83" s="111">
        <v>5</v>
      </c>
      <c r="BT83" s="50" t="s">
        <v>286</v>
      </c>
      <c r="BU83" s="50" t="s">
        <v>312</v>
      </c>
      <c r="BV83" s="50" t="s">
        <v>288</v>
      </c>
      <c r="BW83" s="50" t="s">
        <v>289</v>
      </c>
      <c r="BX83" s="50" t="s">
        <v>290</v>
      </c>
      <c r="BY83" s="50" t="s">
        <v>288</v>
      </c>
      <c r="BZ83" s="50" t="s">
        <v>287</v>
      </c>
      <c r="CA83" s="50"/>
      <c r="CB83" s="50" t="s">
        <v>287</v>
      </c>
      <c r="CC83" s="50" t="s">
        <v>287</v>
      </c>
      <c r="CD83" s="50" t="s">
        <v>287</v>
      </c>
      <c r="CE83" s="50"/>
      <c r="CF83" s="50" t="s">
        <v>287</v>
      </c>
      <c r="CG83" s="50" t="s">
        <v>287</v>
      </c>
      <c r="CH83" s="50" t="s">
        <v>486</v>
      </c>
      <c r="CI83" s="50" t="s">
        <v>287</v>
      </c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1:97" ht="36.75" customHeight="1" thickBot="1">
      <c r="A84" s="49">
        <v>46085.246608796297</v>
      </c>
      <c r="B84" s="50" t="s">
        <v>33</v>
      </c>
      <c r="C84" s="50" t="s">
        <v>45</v>
      </c>
      <c r="D84" s="50" t="s">
        <v>369</v>
      </c>
      <c r="E84" s="50" t="s">
        <v>285</v>
      </c>
      <c r="F84" s="50" t="s">
        <v>286</v>
      </c>
      <c r="G84" s="50" t="s">
        <v>292</v>
      </c>
      <c r="H84" s="50" t="s">
        <v>324</v>
      </c>
      <c r="I84" s="50" t="s">
        <v>295</v>
      </c>
      <c r="J84" s="50" t="s">
        <v>286</v>
      </c>
      <c r="K84" s="50" t="s">
        <v>287</v>
      </c>
      <c r="L84" s="50" t="s">
        <v>336</v>
      </c>
      <c r="M84" s="50" t="s">
        <v>311</v>
      </c>
      <c r="N84" s="111">
        <v>5</v>
      </c>
      <c r="O84" s="111">
        <v>5</v>
      </c>
      <c r="P84" s="111">
        <v>5</v>
      </c>
      <c r="Q84" s="111">
        <v>5</v>
      </c>
      <c r="R84" s="111">
        <v>5</v>
      </c>
      <c r="S84" s="111">
        <v>5</v>
      </c>
      <c r="T84" s="111">
        <v>5</v>
      </c>
      <c r="U84" s="111">
        <v>5</v>
      </c>
      <c r="V84" s="111">
        <v>5</v>
      </c>
      <c r="W84" s="111">
        <v>5</v>
      </c>
      <c r="X84" s="111">
        <v>5</v>
      </c>
      <c r="Y84" s="111">
        <v>5</v>
      </c>
      <c r="Z84" s="111">
        <v>5</v>
      </c>
      <c r="AA84" s="111">
        <v>5</v>
      </c>
      <c r="AB84" s="111">
        <v>5</v>
      </c>
      <c r="AC84" s="111">
        <v>5</v>
      </c>
      <c r="AD84" s="111">
        <v>5</v>
      </c>
      <c r="AE84" s="111">
        <v>5</v>
      </c>
      <c r="AF84" s="111">
        <v>5</v>
      </c>
      <c r="AG84" s="111">
        <v>5</v>
      </c>
      <c r="AH84" s="111">
        <v>5</v>
      </c>
      <c r="AI84" s="111">
        <v>5</v>
      </c>
      <c r="AJ84" s="111">
        <v>5</v>
      </c>
      <c r="AK84" s="111">
        <v>5</v>
      </c>
      <c r="AL84" s="111">
        <v>5</v>
      </c>
      <c r="AM84" s="111">
        <v>5</v>
      </c>
      <c r="AN84" s="111">
        <v>5</v>
      </c>
      <c r="AO84" s="111">
        <v>5</v>
      </c>
      <c r="AP84" s="111">
        <v>5</v>
      </c>
      <c r="AQ84" s="111">
        <v>5</v>
      </c>
      <c r="AR84" s="111">
        <v>5</v>
      </c>
      <c r="AS84" s="111">
        <v>5</v>
      </c>
      <c r="AT84" s="111">
        <v>5</v>
      </c>
      <c r="AU84" s="111">
        <v>5</v>
      </c>
      <c r="AV84" s="50" t="s">
        <v>199</v>
      </c>
      <c r="AW84" s="50" t="s">
        <v>199</v>
      </c>
      <c r="AX84" s="50" t="s">
        <v>199</v>
      </c>
      <c r="AY84" s="50" t="s">
        <v>200</v>
      </c>
      <c r="AZ84" s="50" t="s">
        <v>200</v>
      </c>
      <c r="BA84" s="50" t="s">
        <v>200</v>
      </c>
      <c r="BB84" s="50" t="s">
        <v>200</v>
      </c>
      <c r="BC84" s="50" t="s">
        <v>200</v>
      </c>
      <c r="BD84" s="50" t="s">
        <v>200</v>
      </c>
      <c r="BE84" s="50" t="s">
        <v>200</v>
      </c>
      <c r="BF84" s="50" t="s">
        <v>200</v>
      </c>
      <c r="BG84" s="50" t="s">
        <v>200</v>
      </c>
      <c r="BH84" s="50" t="s">
        <v>200</v>
      </c>
      <c r="BI84" s="50" t="s">
        <v>200</v>
      </c>
      <c r="BJ84" s="50" t="s">
        <v>200</v>
      </c>
      <c r="BK84" s="50" t="s">
        <v>200</v>
      </c>
      <c r="BL84" s="50" t="s">
        <v>200</v>
      </c>
      <c r="BM84" s="50" t="s">
        <v>436</v>
      </c>
      <c r="BN84" s="50" t="s">
        <v>318</v>
      </c>
      <c r="BO84" s="50" t="s">
        <v>432</v>
      </c>
      <c r="BP84" s="50" t="s">
        <v>286</v>
      </c>
      <c r="BQ84" s="50" t="s">
        <v>287</v>
      </c>
      <c r="BR84" s="50" t="s">
        <v>305</v>
      </c>
      <c r="BS84" s="111">
        <v>5</v>
      </c>
      <c r="BT84" s="50" t="s">
        <v>286</v>
      </c>
      <c r="BU84" s="50" t="s">
        <v>312</v>
      </c>
      <c r="BV84" s="50" t="s">
        <v>288</v>
      </c>
      <c r="BW84" s="50" t="s">
        <v>507</v>
      </c>
      <c r="BX84" s="50" t="s">
        <v>296</v>
      </c>
      <c r="BY84" s="50" t="s">
        <v>288</v>
      </c>
      <c r="BZ84" s="50" t="s">
        <v>287</v>
      </c>
      <c r="CA84" s="50"/>
      <c r="CB84" s="50" t="s">
        <v>287</v>
      </c>
      <c r="CC84" s="50" t="s">
        <v>287</v>
      </c>
      <c r="CD84" s="50" t="s">
        <v>287</v>
      </c>
      <c r="CE84" s="50"/>
      <c r="CF84" s="50" t="s">
        <v>287</v>
      </c>
      <c r="CG84" s="50" t="s">
        <v>287</v>
      </c>
      <c r="CH84" s="50" t="s">
        <v>486</v>
      </c>
      <c r="CI84" s="50" t="s">
        <v>287</v>
      </c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1:97" ht="36.75" customHeight="1" thickBot="1">
      <c r="A85" s="49">
        <v>46085.248495370368</v>
      </c>
      <c r="B85" s="50" t="s">
        <v>38</v>
      </c>
      <c r="C85" s="50" t="s">
        <v>46</v>
      </c>
      <c r="D85" s="50" t="s">
        <v>369</v>
      </c>
      <c r="E85" s="50" t="s">
        <v>61</v>
      </c>
      <c r="F85" s="50" t="s">
        <v>286</v>
      </c>
      <c r="G85" s="50" t="s">
        <v>73</v>
      </c>
      <c r="H85" s="50" t="s">
        <v>508</v>
      </c>
      <c r="I85" s="50" t="s">
        <v>92</v>
      </c>
      <c r="J85" s="50" t="s">
        <v>286</v>
      </c>
      <c r="K85" s="50" t="s">
        <v>287</v>
      </c>
      <c r="L85" s="50" t="s">
        <v>315</v>
      </c>
      <c r="M85" s="50" t="s">
        <v>311</v>
      </c>
      <c r="N85" s="111">
        <v>5</v>
      </c>
      <c r="O85" s="111">
        <v>5</v>
      </c>
      <c r="P85" s="111">
        <v>5</v>
      </c>
      <c r="Q85" s="111">
        <v>5</v>
      </c>
      <c r="R85" s="111">
        <v>5</v>
      </c>
      <c r="S85" s="111">
        <v>5</v>
      </c>
      <c r="T85" s="111">
        <v>5</v>
      </c>
      <c r="U85" s="111">
        <v>5</v>
      </c>
      <c r="V85" s="111">
        <v>5</v>
      </c>
      <c r="W85" s="111">
        <v>5</v>
      </c>
      <c r="X85" s="111">
        <v>5</v>
      </c>
      <c r="Y85" s="111">
        <v>5</v>
      </c>
      <c r="Z85" s="111">
        <v>5</v>
      </c>
      <c r="AA85" s="111">
        <v>5</v>
      </c>
      <c r="AB85" s="111">
        <v>5</v>
      </c>
      <c r="AC85" s="111">
        <v>5</v>
      </c>
      <c r="AD85" s="111">
        <v>5</v>
      </c>
      <c r="AE85" s="111">
        <v>5</v>
      </c>
      <c r="AF85" s="111">
        <v>5</v>
      </c>
      <c r="AG85" s="111">
        <v>5</v>
      </c>
      <c r="AH85" s="111">
        <v>5</v>
      </c>
      <c r="AI85" s="111">
        <v>5</v>
      </c>
      <c r="AJ85" s="111">
        <v>5</v>
      </c>
      <c r="AK85" s="111">
        <v>5</v>
      </c>
      <c r="AL85" s="111">
        <v>5</v>
      </c>
      <c r="AM85" s="111">
        <v>5</v>
      </c>
      <c r="AN85" s="111">
        <v>5</v>
      </c>
      <c r="AO85" s="111">
        <v>5</v>
      </c>
      <c r="AP85" s="111">
        <v>5</v>
      </c>
      <c r="AQ85" s="111">
        <v>5</v>
      </c>
      <c r="AR85" s="111">
        <v>5</v>
      </c>
      <c r="AS85" s="111">
        <v>5</v>
      </c>
      <c r="AT85" s="111">
        <v>5</v>
      </c>
      <c r="AU85" s="111">
        <v>5</v>
      </c>
      <c r="AV85" s="50" t="s">
        <v>199</v>
      </c>
      <c r="AW85" s="50" t="s">
        <v>199</v>
      </c>
      <c r="AX85" s="50" t="s">
        <v>199</v>
      </c>
      <c r="AY85" s="50" t="s">
        <v>200</v>
      </c>
      <c r="AZ85" s="50" t="s">
        <v>200</v>
      </c>
      <c r="BA85" s="50" t="s">
        <v>200</v>
      </c>
      <c r="BB85" s="50" t="s">
        <v>200</v>
      </c>
      <c r="BC85" s="50" t="s">
        <v>200</v>
      </c>
      <c r="BD85" s="50" t="s">
        <v>200</v>
      </c>
      <c r="BE85" s="50" t="s">
        <v>200</v>
      </c>
      <c r="BF85" s="50" t="s">
        <v>200</v>
      </c>
      <c r="BG85" s="50" t="s">
        <v>200</v>
      </c>
      <c r="BH85" s="50" t="s">
        <v>200</v>
      </c>
      <c r="BI85" s="50" t="s">
        <v>200</v>
      </c>
      <c r="BJ85" s="50" t="s">
        <v>200</v>
      </c>
      <c r="BK85" s="50" t="s">
        <v>200</v>
      </c>
      <c r="BL85" s="50" t="s">
        <v>200</v>
      </c>
      <c r="BM85" s="50" t="s">
        <v>436</v>
      </c>
      <c r="BN85" s="50" t="s">
        <v>318</v>
      </c>
      <c r="BO85" s="50" t="s">
        <v>91</v>
      </c>
      <c r="BP85" s="50" t="s">
        <v>286</v>
      </c>
      <c r="BQ85" s="50" t="s">
        <v>287</v>
      </c>
      <c r="BR85" s="50" t="s">
        <v>403</v>
      </c>
      <c r="BS85" s="111">
        <v>5</v>
      </c>
      <c r="BT85" s="50" t="s">
        <v>286</v>
      </c>
      <c r="BU85" s="50" t="s">
        <v>312</v>
      </c>
      <c r="BV85" s="50" t="s">
        <v>288</v>
      </c>
      <c r="BW85" s="50" t="s">
        <v>297</v>
      </c>
      <c r="BX85" s="50" t="s">
        <v>290</v>
      </c>
      <c r="BY85" s="50" t="s">
        <v>288</v>
      </c>
      <c r="BZ85" s="50" t="s">
        <v>287</v>
      </c>
      <c r="CA85" s="50"/>
      <c r="CB85" s="50" t="s">
        <v>287</v>
      </c>
      <c r="CC85" s="50" t="s">
        <v>287</v>
      </c>
      <c r="CD85" s="50" t="s">
        <v>287</v>
      </c>
      <c r="CE85" s="50"/>
      <c r="CF85" s="50" t="s">
        <v>287</v>
      </c>
      <c r="CG85" s="50" t="s">
        <v>287</v>
      </c>
      <c r="CH85" s="50" t="s">
        <v>486</v>
      </c>
      <c r="CI85" s="50" t="s">
        <v>287</v>
      </c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1:97" ht="36.75" customHeight="1" thickBot="1">
      <c r="A86" s="49">
        <v>46085.252013888887</v>
      </c>
      <c r="B86" s="50" t="s">
        <v>40</v>
      </c>
      <c r="C86" s="50" t="s">
        <v>45</v>
      </c>
      <c r="D86" s="50" t="s">
        <v>374</v>
      </c>
      <c r="E86" s="50" t="s">
        <v>61</v>
      </c>
      <c r="F86" s="50" t="s">
        <v>286</v>
      </c>
      <c r="G86" s="50" t="s">
        <v>74</v>
      </c>
      <c r="H86" s="50" t="s">
        <v>299</v>
      </c>
      <c r="I86" s="50" t="s">
        <v>81</v>
      </c>
      <c r="J86" s="50" t="s">
        <v>286</v>
      </c>
      <c r="K86" s="50" t="s">
        <v>287</v>
      </c>
      <c r="L86" s="50" t="s">
        <v>424</v>
      </c>
      <c r="M86" s="50" t="s">
        <v>311</v>
      </c>
      <c r="N86" s="111">
        <v>5</v>
      </c>
      <c r="O86" s="111">
        <v>5</v>
      </c>
      <c r="P86" s="111">
        <v>5</v>
      </c>
      <c r="Q86" s="111">
        <v>5</v>
      </c>
      <c r="R86" s="111">
        <v>5</v>
      </c>
      <c r="S86" s="111">
        <v>5</v>
      </c>
      <c r="T86" s="111">
        <v>5</v>
      </c>
      <c r="U86" s="111">
        <v>5</v>
      </c>
      <c r="V86" s="111">
        <v>5</v>
      </c>
      <c r="W86" s="111">
        <v>5</v>
      </c>
      <c r="X86" s="111">
        <v>5</v>
      </c>
      <c r="Y86" s="111">
        <v>5</v>
      </c>
      <c r="Z86" s="111">
        <v>5</v>
      </c>
      <c r="AA86" s="111">
        <v>5</v>
      </c>
      <c r="AB86" s="111">
        <v>5</v>
      </c>
      <c r="AC86" s="111">
        <v>5</v>
      </c>
      <c r="AD86" s="111">
        <v>5</v>
      </c>
      <c r="AE86" s="111">
        <v>5</v>
      </c>
      <c r="AF86" s="111">
        <v>5</v>
      </c>
      <c r="AG86" s="111">
        <v>5</v>
      </c>
      <c r="AH86" s="111">
        <v>5</v>
      </c>
      <c r="AI86" s="111">
        <v>5</v>
      </c>
      <c r="AJ86" s="111">
        <v>5</v>
      </c>
      <c r="AK86" s="111">
        <v>5</v>
      </c>
      <c r="AL86" s="111">
        <v>5</v>
      </c>
      <c r="AM86" s="111">
        <v>5</v>
      </c>
      <c r="AN86" s="111">
        <v>5</v>
      </c>
      <c r="AO86" s="111">
        <v>5</v>
      </c>
      <c r="AP86" s="111">
        <v>5</v>
      </c>
      <c r="AQ86" s="111">
        <v>5</v>
      </c>
      <c r="AR86" s="111">
        <v>5</v>
      </c>
      <c r="AS86" s="111">
        <v>5</v>
      </c>
      <c r="AT86" s="111">
        <v>5</v>
      </c>
      <c r="AU86" s="111">
        <v>5</v>
      </c>
      <c r="AV86" s="50" t="s">
        <v>199</v>
      </c>
      <c r="AW86" s="50" t="s">
        <v>199</v>
      </c>
      <c r="AX86" s="50" t="s">
        <v>199</v>
      </c>
      <c r="AY86" s="50" t="s">
        <v>200</v>
      </c>
      <c r="AZ86" s="50" t="s">
        <v>200</v>
      </c>
      <c r="BA86" s="50" t="s">
        <v>200</v>
      </c>
      <c r="BB86" s="50" t="s">
        <v>200</v>
      </c>
      <c r="BC86" s="50" t="s">
        <v>200</v>
      </c>
      <c r="BD86" s="50" t="s">
        <v>200</v>
      </c>
      <c r="BE86" s="50" t="s">
        <v>200</v>
      </c>
      <c r="BF86" s="50" t="s">
        <v>200</v>
      </c>
      <c r="BG86" s="50" t="s">
        <v>200</v>
      </c>
      <c r="BH86" s="50" t="s">
        <v>200</v>
      </c>
      <c r="BI86" s="50" t="s">
        <v>200</v>
      </c>
      <c r="BJ86" s="50" t="s">
        <v>200</v>
      </c>
      <c r="BK86" s="50" t="s">
        <v>200</v>
      </c>
      <c r="BL86" s="50" t="s">
        <v>200</v>
      </c>
      <c r="BM86" s="50" t="s">
        <v>436</v>
      </c>
      <c r="BN86" s="50" t="s">
        <v>318</v>
      </c>
      <c r="BO86" s="50" t="s">
        <v>91</v>
      </c>
      <c r="BP86" s="50" t="s">
        <v>286</v>
      </c>
      <c r="BQ86" s="50" t="s">
        <v>287</v>
      </c>
      <c r="BR86" s="50" t="s">
        <v>382</v>
      </c>
      <c r="BS86" s="111">
        <v>5</v>
      </c>
      <c r="BT86" s="50" t="s">
        <v>286</v>
      </c>
      <c r="BU86" s="50" t="s">
        <v>312</v>
      </c>
      <c r="BV86" s="50" t="s">
        <v>288</v>
      </c>
      <c r="BW86" s="50" t="s">
        <v>293</v>
      </c>
      <c r="BX86" s="50" t="s">
        <v>294</v>
      </c>
      <c r="BY86" s="50" t="s">
        <v>288</v>
      </c>
      <c r="BZ86" s="50" t="s">
        <v>287</v>
      </c>
      <c r="CA86" s="50"/>
      <c r="CB86" s="50" t="s">
        <v>287</v>
      </c>
      <c r="CC86" s="50" t="s">
        <v>287</v>
      </c>
      <c r="CD86" s="50" t="s">
        <v>287</v>
      </c>
      <c r="CE86" s="50"/>
      <c r="CF86" s="50" t="s">
        <v>287</v>
      </c>
      <c r="CG86" s="50" t="s">
        <v>287</v>
      </c>
      <c r="CH86" s="50" t="s">
        <v>486</v>
      </c>
      <c r="CI86" s="50" t="s">
        <v>287</v>
      </c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1:97" ht="36.75" customHeight="1" thickBot="1">
      <c r="A87" s="49">
        <v>46085.255729166667</v>
      </c>
      <c r="B87" s="50" t="s">
        <v>40</v>
      </c>
      <c r="C87" s="50" t="s">
        <v>45</v>
      </c>
      <c r="D87" s="50" t="s">
        <v>374</v>
      </c>
      <c r="E87" s="50" t="s">
        <v>61</v>
      </c>
      <c r="F87" s="50" t="s">
        <v>286</v>
      </c>
      <c r="G87" s="50" t="s">
        <v>73</v>
      </c>
      <c r="H87" s="50" t="s">
        <v>335</v>
      </c>
      <c r="I87" s="50" t="s">
        <v>81</v>
      </c>
      <c r="J87" s="50" t="s">
        <v>286</v>
      </c>
      <c r="K87" s="50" t="s">
        <v>287</v>
      </c>
      <c r="L87" s="50" t="s">
        <v>336</v>
      </c>
      <c r="M87" s="50" t="s">
        <v>311</v>
      </c>
      <c r="N87" s="111">
        <v>5</v>
      </c>
      <c r="O87" s="111">
        <v>5</v>
      </c>
      <c r="P87" s="111">
        <v>5</v>
      </c>
      <c r="Q87" s="111">
        <v>5</v>
      </c>
      <c r="R87" s="111">
        <v>5</v>
      </c>
      <c r="S87" s="111">
        <v>5</v>
      </c>
      <c r="T87" s="111">
        <v>5</v>
      </c>
      <c r="U87" s="111">
        <v>5</v>
      </c>
      <c r="V87" s="111">
        <v>5</v>
      </c>
      <c r="W87" s="111">
        <v>5</v>
      </c>
      <c r="X87" s="111">
        <v>5</v>
      </c>
      <c r="Y87" s="111">
        <v>5</v>
      </c>
      <c r="Z87" s="111">
        <v>5</v>
      </c>
      <c r="AA87" s="111">
        <v>5</v>
      </c>
      <c r="AB87" s="111">
        <v>5</v>
      </c>
      <c r="AC87" s="111">
        <v>5</v>
      </c>
      <c r="AD87" s="111">
        <v>5</v>
      </c>
      <c r="AE87" s="111">
        <v>5</v>
      </c>
      <c r="AF87" s="111">
        <v>5</v>
      </c>
      <c r="AG87" s="111">
        <v>5</v>
      </c>
      <c r="AH87" s="111">
        <v>5</v>
      </c>
      <c r="AI87" s="111">
        <v>5</v>
      </c>
      <c r="AJ87" s="111">
        <v>5</v>
      </c>
      <c r="AK87" s="111">
        <v>5</v>
      </c>
      <c r="AL87" s="111">
        <v>5</v>
      </c>
      <c r="AM87" s="111">
        <v>5</v>
      </c>
      <c r="AN87" s="111">
        <v>5</v>
      </c>
      <c r="AO87" s="111">
        <v>5</v>
      </c>
      <c r="AP87" s="111">
        <v>5</v>
      </c>
      <c r="AQ87" s="111">
        <v>5</v>
      </c>
      <c r="AR87" s="111">
        <v>5</v>
      </c>
      <c r="AS87" s="111">
        <v>5</v>
      </c>
      <c r="AT87" s="111">
        <v>5</v>
      </c>
      <c r="AU87" s="111">
        <v>5</v>
      </c>
      <c r="AV87" s="50" t="s">
        <v>199</v>
      </c>
      <c r="AW87" s="50" t="s">
        <v>199</v>
      </c>
      <c r="AX87" s="50" t="s">
        <v>199</v>
      </c>
      <c r="AY87" s="50" t="s">
        <v>200</v>
      </c>
      <c r="AZ87" s="50" t="s">
        <v>200</v>
      </c>
      <c r="BA87" s="50" t="s">
        <v>200</v>
      </c>
      <c r="BB87" s="50" t="s">
        <v>200</v>
      </c>
      <c r="BC87" s="50" t="s">
        <v>200</v>
      </c>
      <c r="BD87" s="50" t="s">
        <v>200</v>
      </c>
      <c r="BE87" s="50" t="s">
        <v>200</v>
      </c>
      <c r="BF87" s="50" t="s">
        <v>200</v>
      </c>
      <c r="BG87" s="50" t="s">
        <v>200</v>
      </c>
      <c r="BH87" s="50" t="s">
        <v>200</v>
      </c>
      <c r="BI87" s="50" t="s">
        <v>200</v>
      </c>
      <c r="BJ87" s="50" t="s">
        <v>200</v>
      </c>
      <c r="BK87" s="50" t="s">
        <v>200</v>
      </c>
      <c r="BL87" s="50" t="s">
        <v>200</v>
      </c>
      <c r="BM87" s="50" t="s">
        <v>436</v>
      </c>
      <c r="BN87" s="50" t="s">
        <v>318</v>
      </c>
      <c r="BO87" s="50" t="s">
        <v>378</v>
      </c>
      <c r="BP87" s="50" t="s">
        <v>286</v>
      </c>
      <c r="BQ87" s="50" t="s">
        <v>287</v>
      </c>
      <c r="BR87" s="50" t="s">
        <v>406</v>
      </c>
      <c r="BS87" s="111">
        <v>5</v>
      </c>
      <c r="BT87" s="50" t="s">
        <v>286</v>
      </c>
      <c r="BU87" s="50" t="s">
        <v>312</v>
      </c>
      <c r="BV87" s="50" t="s">
        <v>288</v>
      </c>
      <c r="BW87" s="50" t="s">
        <v>289</v>
      </c>
      <c r="BX87" s="50" t="s">
        <v>300</v>
      </c>
      <c r="BY87" s="50" t="s">
        <v>288</v>
      </c>
      <c r="BZ87" s="50" t="s">
        <v>287</v>
      </c>
      <c r="CA87" s="50"/>
      <c r="CB87" s="50" t="s">
        <v>287</v>
      </c>
      <c r="CC87" s="50" t="s">
        <v>287</v>
      </c>
      <c r="CD87" s="50" t="s">
        <v>287</v>
      </c>
      <c r="CE87" s="50"/>
      <c r="CF87" s="50" t="s">
        <v>287</v>
      </c>
      <c r="CG87" s="50" t="s">
        <v>287</v>
      </c>
      <c r="CH87" s="50" t="s">
        <v>486</v>
      </c>
      <c r="CI87" s="50" t="s">
        <v>287</v>
      </c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1:97" ht="36.75" customHeight="1" thickBot="1">
      <c r="A88" s="49">
        <v>46085.257638888892</v>
      </c>
      <c r="B88" s="50" t="s">
        <v>36</v>
      </c>
      <c r="C88" s="50" t="s">
        <v>45</v>
      </c>
      <c r="D88" s="50" t="s">
        <v>374</v>
      </c>
      <c r="E88" s="50" t="s">
        <v>61</v>
      </c>
      <c r="F88" s="50" t="s">
        <v>286</v>
      </c>
      <c r="G88" s="50" t="s">
        <v>292</v>
      </c>
      <c r="H88" s="50" t="s">
        <v>338</v>
      </c>
      <c r="I88" s="50" t="s">
        <v>92</v>
      </c>
      <c r="J88" s="50" t="s">
        <v>286</v>
      </c>
      <c r="K88" s="50" t="s">
        <v>287</v>
      </c>
      <c r="L88" s="50" t="s">
        <v>310</v>
      </c>
      <c r="M88" s="50" t="s">
        <v>311</v>
      </c>
      <c r="N88" s="111">
        <v>5</v>
      </c>
      <c r="O88" s="111">
        <v>5</v>
      </c>
      <c r="P88" s="111">
        <v>5</v>
      </c>
      <c r="Q88" s="111">
        <v>5</v>
      </c>
      <c r="R88" s="111">
        <v>5</v>
      </c>
      <c r="S88" s="111">
        <v>5</v>
      </c>
      <c r="T88" s="111">
        <v>5</v>
      </c>
      <c r="U88" s="111">
        <v>5</v>
      </c>
      <c r="V88" s="111">
        <v>5</v>
      </c>
      <c r="W88" s="111">
        <v>5</v>
      </c>
      <c r="X88" s="111">
        <v>5</v>
      </c>
      <c r="Y88" s="111">
        <v>5</v>
      </c>
      <c r="Z88" s="111">
        <v>5</v>
      </c>
      <c r="AA88" s="111">
        <v>5</v>
      </c>
      <c r="AB88" s="111">
        <v>5</v>
      </c>
      <c r="AC88" s="111">
        <v>5</v>
      </c>
      <c r="AD88" s="111">
        <v>5</v>
      </c>
      <c r="AE88" s="111">
        <v>5</v>
      </c>
      <c r="AF88" s="111">
        <v>5</v>
      </c>
      <c r="AG88" s="111">
        <v>5</v>
      </c>
      <c r="AH88" s="111">
        <v>5</v>
      </c>
      <c r="AI88" s="111">
        <v>5</v>
      </c>
      <c r="AJ88" s="111">
        <v>5</v>
      </c>
      <c r="AK88" s="111">
        <v>5</v>
      </c>
      <c r="AL88" s="111">
        <v>5</v>
      </c>
      <c r="AM88" s="111">
        <v>5</v>
      </c>
      <c r="AN88" s="111">
        <v>5</v>
      </c>
      <c r="AO88" s="111">
        <v>5</v>
      </c>
      <c r="AP88" s="111">
        <v>5</v>
      </c>
      <c r="AQ88" s="111">
        <v>5</v>
      </c>
      <c r="AR88" s="111">
        <v>5</v>
      </c>
      <c r="AS88" s="111">
        <v>5</v>
      </c>
      <c r="AT88" s="111">
        <v>5</v>
      </c>
      <c r="AU88" s="111">
        <v>5</v>
      </c>
      <c r="AV88" s="50" t="s">
        <v>199</v>
      </c>
      <c r="AW88" s="50" t="s">
        <v>199</v>
      </c>
      <c r="AX88" s="50" t="s">
        <v>199</v>
      </c>
      <c r="AY88" s="50" t="s">
        <v>200</v>
      </c>
      <c r="AZ88" s="50" t="s">
        <v>200</v>
      </c>
      <c r="BA88" s="50" t="s">
        <v>200</v>
      </c>
      <c r="BB88" s="50" t="s">
        <v>200</v>
      </c>
      <c r="BC88" s="50" t="s">
        <v>200</v>
      </c>
      <c r="BD88" s="50" t="s">
        <v>200</v>
      </c>
      <c r="BE88" s="50" t="s">
        <v>200</v>
      </c>
      <c r="BF88" s="50" t="s">
        <v>200</v>
      </c>
      <c r="BG88" s="50" t="s">
        <v>200</v>
      </c>
      <c r="BH88" s="50" t="s">
        <v>200</v>
      </c>
      <c r="BI88" s="50" t="s">
        <v>200</v>
      </c>
      <c r="BJ88" s="50" t="s">
        <v>200</v>
      </c>
      <c r="BK88" s="50" t="s">
        <v>200</v>
      </c>
      <c r="BL88" s="50" t="s">
        <v>200</v>
      </c>
      <c r="BM88" s="50" t="s">
        <v>436</v>
      </c>
      <c r="BN88" s="50" t="s">
        <v>318</v>
      </c>
      <c r="BO88" s="50" t="s">
        <v>91</v>
      </c>
      <c r="BP88" s="50" t="s">
        <v>286</v>
      </c>
      <c r="BQ88" s="50" t="s">
        <v>287</v>
      </c>
      <c r="BR88" s="50" t="s">
        <v>509</v>
      </c>
      <c r="BS88" s="111">
        <v>5</v>
      </c>
      <c r="BT88" s="50" t="s">
        <v>286</v>
      </c>
      <c r="BU88" s="50" t="s">
        <v>312</v>
      </c>
      <c r="BV88" s="50" t="s">
        <v>288</v>
      </c>
      <c r="BW88" s="50" t="s">
        <v>303</v>
      </c>
      <c r="BX88" s="50" t="s">
        <v>300</v>
      </c>
      <c r="BY88" s="50" t="s">
        <v>288</v>
      </c>
      <c r="BZ88" s="50" t="s">
        <v>287</v>
      </c>
      <c r="CA88" s="50"/>
      <c r="CB88" s="50" t="s">
        <v>287</v>
      </c>
      <c r="CC88" s="50" t="s">
        <v>287</v>
      </c>
      <c r="CD88" s="50" t="s">
        <v>287</v>
      </c>
      <c r="CE88" s="50"/>
      <c r="CF88" s="50" t="s">
        <v>287</v>
      </c>
      <c r="CG88" s="50" t="s">
        <v>287</v>
      </c>
      <c r="CH88" s="50" t="s">
        <v>486</v>
      </c>
      <c r="CI88" s="50" t="s">
        <v>287</v>
      </c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1:97" ht="36.75" customHeight="1" thickBot="1">
      <c r="A89" s="49">
        <v>46085.260092592594</v>
      </c>
      <c r="B89" s="50" t="s">
        <v>40</v>
      </c>
      <c r="C89" s="50" t="s">
        <v>45</v>
      </c>
      <c r="D89" s="50" t="s">
        <v>374</v>
      </c>
      <c r="E89" s="50" t="s">
        <v>59</v>
      </c>
      <c r="F89" s="50" t="s">
        <v>286</v>
      </c>
      <c r="G89" s="50" t="s">
        <v>73</v>
      </c>
      <c r="H89" s="50" t="s">
        <v>321</v>
      </c>
      <c r="I89" s="50" t="s">
        <v>81</v>
      </c>
      <c r="J89" s="50" t="s">
        <v>286</v>
      </c>
      <c r="K89" s="50" t="s">
        <v>287</v>
      </c>
      <c r="L89" s="50" t="s">
        <v>336</v>
      </c>
      <c r="M89" s="50" t="s">
        <v>316</v>
      </c>
      <c r="N89" s="111">
        <v>5</v>
      </c>
      <c r="O89" s="111">
        <v>5</v>
      </c>
      <c r="P89" s="111">
        <v>5</v>
      </c>
      <c r="Q89" s="111">
        <v>5</v>
      </c>
      <c r="R89" s="111">
        <v>5</v>
      </c>
      <c r="S89" s="111">
        <v>5</v>
      </c>
      <c r="T89" s="111">
        <v>5</v>
      </c>
      <c r="U89" s="111">
        <v>5</v>
      </c>
      <c r="V89" s="111">
        <v>5</v>
      </c>
      <c r="W89" s="111">
        <v>5</v>
      </c>
      <c r="X89" s="111">
        <v>5</v>
      </c>
      <c r="Y89" s="111">
        <v>5</v>
      </c>
      <c r="Z89" s="111">
        <v>5</v>
      </c>
      <c r="AA89" s="111">
        <v>5</v>
      </c>
      <c r="AB89" s="111">
        <v>5</v>
      </c>
      <c r="AC89" s="111">
        <v>5</v>
      </c>
      <c r="AD89" s="111">
        <v>5</v>
      </c>
      <c r="AE89" s="111">
        <v>5</v>
      </c>
      <c r="AF89" s="111">
        <v>5</v>
      </c>
      <c r="AG89" s="111">
        <v>5</v>
      </c>
      <c r="AH89" s="111">
        <v>5</v>
      </c>
      <c r="AI89" s="111">
        <v>5</v>
      </c>
      <c r="AJ89" s="111">
        <v>5</v>
      </c>
      <c r="AK89" s="111">
        <v>5</v>
      </c>
      <c r="AL89" s="111">
        <v>5</v>
      </c>
      <c r="AM89" s="111">
        <v>5</v>
      </c>
      <c r="AN89" s="111">
        <v>5</v>
      </c>
      <c r="AO89" s="111">
        <v>5</v>
      </c>
      <c r="AP89" s="111">
        <v>5</v>
      </c>
      <c r="AQ89" s="111">
        <v>5</v>
      </c>
      <c r="AR89" s="111">
        <v>5</v>
      </c>
      <c r="AS89" s="111">
        <v>5</v>
      </c>
      <c r="AT89" s="111">
        <v>5</v>
      </c>
      <c r="AU89" s="111">
        <v>5</v>
      </c>
      <c r="AV89" s="50" t="s">
        <v>199</v>
      </c>
      <c r="AW89" s="50" t="s">
        <v>199</v>
      </c>
      <c r="AX89" s="50" t="s">
        <v>199</v>
      </c>
      <c r="AY89" s="50" t="s">
        <v>200</v>
      </c>
      <c r="AZ89" s="50" t="s">
        <v>200</v>
      </c>
      <c r="BA89" s="50" t="s">
        <v>200</v>
      </c>
      <c r="BB89" s="50" t="s">
        <v>200</v>
      </c>
      <c r="BC89" s="50" t="s">
        <v>200</v>
      </c>
      <c r="BD89" s="50" t="s">
        <v>200</v>
      </c>
      <c r="BE89" s="50" t="s">
        <v>200</v>
      </c>
      <c r="BF89" s="50" t="s">
        <v>200</v>
      </c>
      <c r="BG89" s="50" t="s">
        <v>200</v>
      </c>
      <c r="BH89" s="50" t="s">
        <v>200</v>
      </c>
      <c r="BI89" s="50" t="s">
        <v>200</v>
      </c>
      <c r="BJ89" s="50" t="s">
        <v>200</v>
      </c>
      <c r="BK89" s="50" t="s">
        <v>200</v>
      </c>
      <c r="BL89" s="50" t="s">
        <v>200</v>
      </c>
      <c r="BM89" s="50" t="s">
        <v>436</v>
      </c>
      <c r="BN89" s="50" t="s">
        <v>318</v>
      </c>
      <c r="BO89" s="50" t="s">
        <v>91</v>
      </c>
      <c r="BP89" s="50" t="s">
        <v>286</v>
      </c>
      <c r="BQ89" s="50" t="s">
        <v>287</v>
      </c>
      <c r="BR89" s="50" t="s">
        <v>373</v>
      </c>
      <c r="BS89" s="111">
        <v>5</v>
      </c>
      <c r="BT89" s="50" t="s">
        <v>286</v>
      </c>
      <c r="BU89" s="50" t="s">
        <v>312</v>
      </c>
      <c r="BV89" s="50" t="s">
        <v>288</v>
      </c>
      <c r="BW89" s="50" t="s">
        <v>297</v>
      </c>
      <c r="BX89" s="50" t="s">
        <v>290</v>
      </c>
      <c r="BY89" s="50" t="s">
        <v>288</v>
      </c>
      <c r="BZ89" s="50" t="s">
        <v>287</v>
      </c>
      <c r="CA89" s="50"/>
      <c r="CB89" s="50" t="s">
        <v>287</v>
      </c>
      <c r="CC89" s="50" t="s">
        <v>287</v>
      </c>
      <c r="CD89" s="50" t="s">
        <v>287</v>
      </c>
      <c r="CE89" s="50"/>
      <c r="CF89" s="50" t="s">
        <v>287</v>
      </c>
      <c r="CG89" s="50" t="s">
        <v>287</v>
      </c>
      <c r="CH89" s="50" t="s">
        <v>486</v>
      </c>
      <c r="CI89" s="50" t="s">
        <v>287</v>
      </c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1:97" ht="36.75" customHeight="1" thickBot="1">
      <c r="A90" s="49">
        <v>46085.273402777777</v>
      </c>
      <c r="B90" s="50" t="s">
        <v>40</v>
      </c>
      <c r="C90" s="50" t="s">
        <v>45</v>
      </c>
      <c r="D90" s="50" t="s">
        <v>374</v>
      </c>
      <c r="E90" s="50" t="s">
        <v>64</v>
      </c>
      <c r="F90" s="50" t="s">
        <v>286</v>
      </c>
      <c r="G90" s="50" t="s">
        <v>74</v>
      </c>
      <c r="H90" s="50" t="s">
        <v>365</v>
      </c>
      <c r="I90" s="50" t="s">
        <v>81</v>
      </c>
      <c r="J90" s="50" t="s">
        <v>286</v>
      </c>
      <c r="K90" s="50" t="s">
        <v>287</v>
      </c>
      <c r="L90" s="50" t="s">
        <v>405</v>
      </c>
      <c r="M90" s="50" t="s">
        <v>316</v>
      </c>
      <c r="N90" s="111">
        <v>5</v>
      </c>
      <c r="O90" s="111">
        <v>5</v>
      </c>
      <c r="P90" s="111">
        <v>5</v>
      </c>
      <c r="Q90" s="111">
        <v>5</v>
      </c>
      <c r="R90" s="111">
        <v>5</v>
      </c>
      <c r="S90" s="111">
        <v>5</v>
      </c>
      <c r="T90" s="111">
        <v>5</v>
      </c>
      <c r="U90" s="111">
        <v>5</v>
      </c>
      <c r="V90" s="111">
        <v>5</v>
      </c>
      <c r="W90" s="111">
        <v>5</v>
      </c>
      <c r="X90" s="111">
        <v>5</v>
      </c>
      <c r="Y90" s="111">
        <v>5</v>
      </c>
      <c r="Z90" s="111">
        <v>5</v>
      </c>
      <c r="AA90" s="111">
        <v>5</v>
      </c>
      <c r="AB90" s="111">
        <v>5</v>
      </c>
      <c r="AC90" s="111">
        <v>5</v>
      </c>
      <c r="AD90" s="111">
        <v>5</v>
      </c>
      <c r="AE90" s="111">
        <v>5</v>
      </c>
      <c r="AF90" s="111">
        <v>5</v>
      </c>
      <c r="AG90" s="111">
        <v>5</v>
      </c>
      <c r="AH90" s="111">
        <v>5</v>
      </c>
      <c r="AI90" s="111">
        <v>5</v>
      </c>
      <c r="AJ90" s="111">
        <v>5</v>
      </c>
      <c r="AK90" s="111">
        <v>5</v>
      </c>
      <c r="AL90" s="111">
        <v>5</v>
      </c>
      <c r="AM90" s="111">
        <v>5</v>
      </c>
      <c r="AN90" s="111">
        <v>5</v>
      </c>
      <c r="AO90" s="111">
        <v>5</v>
      </c>
      <c r="AP90" s="111">
        <v>5</v>
      </c>
      <c r="AQ90" s="111">
        <v>5</v>
      </c>
      <c r="AR90" s="111">
        <v>5</v>
      </c>
      <c r="AS90" s="111">
        <v>5</v>
      </c>
      <c r="AT90" s="111">
        <v>5</v>
      </c>
      <c r="AU90" s="111">
        <v>5</v>
      </c>
      <c r="AV90" s="50" t="s">
        <v>199</v>
      </c>
      <c r="AW90" s="50" t="s">
        <v>199</v>
      </c>
      <c r="AX90" s="50" t="s">
        <v>199</v>
      </c>
      <c r="AY90" s="50" t="s">
        <v>200</v>
      </c>
      <c r="AZ90" s="50" t="s">
        <v>200</v>
      </c>
      <c r="BA90" s="50" t="s">
        <v>200</v>
      </c>
      <c r="BB90" s="50" t="s">
        <v>200</v>
      </c>
      <c r="BC90" s="50" t="s">
        <v>200</v>
      </c>
      <c r="BD90" s="50" t="s">
        <v>200</v>
      </c>
      <c r="BE90" s="50" t="s">
        <v>200</v>
      </c>
      <c r="BF90" s="50" t="s">
        <v>200</v>
      </c>
      <c r="BG90" s="50" t="s">
        <v>200</v>
      </c>
      <c r="BH90" s="50" t="s">
        <v>200</v>
      </c>
      <c r="BI90" s="50" t="s">
        <v>200</v>
      </c>
      <c r="BJ90" s="50" t="s">
        <v>200</v>
      </c>
      <c r="BK90" s="50" t="s">
        <v>200</v>
      </c>
      <c r="BL90" s="50" t="s">
        <v>200</v>
      </c>
      <c r="BM90" s="50" t="s">
        <v>436</v>
      </c>
      <c r="BN90" s="50" t="s">
        <v>510</v>
      </c>
      <c r="BO90" s="50" t="s">
        <v>378</v>
      </c>
      <c r="BP90" s="50" t="s">
        <v>286</v>
      </c>
      <c r="BQ90" s="50" t="s">
        <v>287</v>
      </c>
      <c r="BR90" s="50" t="s">
        <v>403</v>
      </c>
      <c r="BS90" s="111">
        <v>5</v>
      </c>
      <c r="BT90" s="50" t="s">
        <v>286</v>
      </c>
      <c r="BU90" s="50" t="s">
        <v>312</v>
      </c>
      <c r="BV90" s="50" t="s">
        <v>288</v>
      </c>
      <c r="BW90" s="50" t="s">
        <v>304</v>
      </c>
      <c r="BX90" s="50" t="s">
        <v>290</v>
      </c>
      <c r="BY90" s="50" t="s">
        <v>288</v>
      </c>
      <c r="BZ90" s="50" t="s">
        <v>287</v>
      </c>
      <c r="CA90" s="50"/>
      <c r="CB90" s="50" t="s">
        <v>287</v>
      </c>
      <c r="CC90" s="50" t="s">
        <v>287</v>
      </c>
      <c r="CD90" s="50" t="s">
        <v>287</v>
      </c>
      <c r="CE90" s="50"/>
      <c r="CF90" s="50" t="s">
        <v>287</v>
      </c>
      <c r="CG90" s="50" t="s">
        <v>287</v>
      </c>
      <c r="CH90" s="50" t="s">
        <v>486</v>
      </c>
      <c r="CI90" s="50" t="s">
        <v>287</v>
      </c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1:97" ht="36.75" customHeight="1" thickBot="1">
      <c r="A91" s="49">
        <v>46085.275289351855</v>
      </c>
      <c r="B91" s="50" t="s">
        <v>40</v>
      </c>
      <c r="C91" s="50" t="s">
        <v>46</v>
      </c>
      <c r="D91" s="50" t="s">
        <v>374</v>
      </c>
      <c r="E91" s="50" t="s">
        <v>60</v>
      </c>
      <c r="F91" s="50" t="s">
        <v>286</v>
      </c>
      <c r="G91" s="50" t="s">
        <v>73</v>
      </c>
      <c r="H91" s="50" t="s">
        <v>314</v>
      </c>
      <c r="I91" s="50" t="s">
        <v>81</v>
      </c>
      <c r="J91" s="50" t="s">
        <v>286</v>
      </c>
      <c r="K91" s="50" t="s">
        <v>287</v>
      </c>
      <c r="L91" s="50" t="s">
        <v>317</v>
      </c>
      <c r="M91" s="50" t="s">
        <v>316</v>
      </c>
      <c r="N91" s="111">
        <v>5</v>
      </c>
      <c r="O91" s="111">
        <v>5</v>
      </c>
      <c r="P91" s="111">
        <v>5</v>
      </c>
      <c r="Q91" s="111">
        <v>5</v>
      </c>
      <c r="R91" s="111">
        <v>5</v>
      </c>
      <c r="S91" s="111">
        <v>5</v>
      </c>
      <c r="T91" s="111">
        <v>5</v>
      </c>
      <c r="U91" s="111">
        <v>5</v>
      </c>
      <c r="V91" s="111">
        <v>5</v>
      </c>
      <c r="W91" s="111">
        <v>5</v>
      </c>
      <c r="X91" s="111">
        <v>5</v>
      </c>
      <c r="Y91" s="111">
        <v>5</v>
      </c>
      <c r="Z91" s="111">
        <v>5</v>
      </c>
      <c r="AA91" s="111">
        <v>5</v>
      </c>
      <c r="AB91" s="111">
        <v>5</v>
      </c>
      <c r="AC91" s="111">
        <v>5</v>
      </c>
      <c r="AD91" s="111">
        <v>5</v>
      </c>
      <c r="AE91" s="111">
        <v>5</v>
      </c>
      <c r="AF91" s="111">
        <v>5</v>
      </c>
      <c r="AG91" s="111">
        <v>5</v>
      </c>
      <c r="AH91" s="111">
        <v>5</v>
      </c>
      <c r="AI91" s="111">
        <v>5</v>
      </c>
      <c r="AJ91" s="111">
        <v>5</v>
      </c>
      <c r="AK91" s="111">
        <v>5</v>
      </c>
      <c r="AL91" s="111">
        <v>5</v>
      </c>
      <c r="AM91" s="111">
        <v>5</v>
      </c>
      <c r="AN91" s="111">
        <v>5</v>
      </c>
      <c r="AO91" s="111">
        <v>5</v>
      </c>
      <c r="AP91" s="111">
        <v>5</v>
      </c>
      <c r="AQ91" s="111">
        <v>5</v>
      </c>
      <c r="AR91" s="111">
        <v>5</v>
      </c>
      <c r="AS91" s="111">
        <v>5</v>
      </c>
      <c r="AT91" s="111">
        <v>5</v>
      </c>
      <c r="AU91" s="111">
        <v>5</v>
      </c>
      <c r="AV91" s="50" t="s">
        <v>199</v>
      </c>
      <c r="AW91" s="50" t="s">
        <v>199</v>
      </c>
      <c r="AX91" s="50" t="s">
        <v>199</v>
      </c>
      <c r="AY91" s="50" t="s">
        <v>200</v>
      </c>
      <c r="AZ91" s="50" t="s">
        <v>200</v>
      </c>
      <c r="BA91" s="50" t="s">
        <v>200</v>
      </c>
      <c r="BB91" s="50" t="s">
        <v>200</v>
      </c>
      <c r="BC91" s="50" t="s">
        <v>200</v>
      </c>
      <c r="BD91" s="50" t="s">
        <v>200</v>
      </c>
      <c r="BE91" s="50" t="s">
        <v>200</v>
      </c>
      <c r="BF91" s="50" t="s">
        <v>200</v>
      </c>
      <c r="BG91" s="50" t="s">
        <v>200</v>
      </c>
      <c r="BH91" s="50" t="s">
        <v>200</v>
      </c>
      <c r="BI91" s="50" t="s">
        <v>200</v>
      </c>
      <c r="BJ91" s="50" t="s">
        <v>200</v>
      </c>
      <c r="BK91" s="50" t="s">
        <v>200</v>
      </c>
      <c r="BL91" s="50" t="s">
        <v>200</v>
      </c>
      <c r="BM91" s="50" t="s">
        <v>436</v>
      </c>
      <c r="BN91" s="50" t="s">
        <v>318</v>
      </c>
      <c r="BO91" s="50" t="s">
        <v>91</v>
      </c>
      <c r="BP91" s="50" t="s">
        <v>286</v>
      </c>
      <c r="BQ91" s="50" t="s">
        <v>287</v>
      </c>
      <c r="BR91" s="50" t="s">
        <v>403</v>
      </c>
      <c r="BS91" s="111">
        <v>5</v>
      </c>
      <c r="BT91" s="50" t="s">
        <v>286</v>
      </c>
      <c r="BU91" s="50" t="s">
        <v>312</v>
      </c>
      <c r="BV91" s="50" t="s">
        <v>288</v>
      </c>
      <c r="BW91" s="50" t="s">
        <v>289</v>
      </c>
      <c r="BX91" s="50" t="s">
        <v>290</v>
      </c>
      <c r="BY91" s="50" t="s">
        <v>288</v>
      </c>
      <c r="BZ91" s="50" t="s">
        <v>287</v>
      </c>
      <c r="CA91" s="50"/>
      <c r="CB91" s="50" t="s">
        <v>287</v>
      </c>
      <c r="CC91" s="50" t="s">
        <v>287</v>
      </c>
      <c r="CD91" s="50" t="s">
        <v>287</v>
      </c>
      <c r="CE91" s="50"/>
      <c r="CF91" s="50" t="s">
        <v>287</v>
      </c>
      <c r="CG91" s="50" t="s">
        <v>287</v>
      </c>
      <c r="CH91" s="50" t="s">
        <v>486</v>
      </c>
      <c r="CI91" s="50" t="s">
        <v>287</v>
      </c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1:97" ht="36.75" customHeight="1" thickBot="1">
      <c r="A92" s="49">
        <v>46085.27851851852</v>
      </c>
      <c r="B92" s="50" t="s">
        <v>40</v>
      </c>
      <c r="C92" s="50" t="s">
        <v>45</v>
      </c>
      <c r="D92" s="50" t="s">
        <v>374</v>
      </c>
      <c r="E92" s="50" t="s">
        <v>61</v>
      </c>
      <c r="F92" s="50" t="s">
        <v>286</v>
      </c>
      <c r="G92" s="50" t="s">
        <v>73</v>
      </c>
      <c r="H92" s="50" t="s">
        <v>286</v>
      </c>
      <c r="I92" s="50" t="s">
        <v>81</v>
      </c>
      <c r="J92" s="50" t="s">
        <v>286</v>
      </c>
      <c r="K92" s="50" t="s">
        <v>287</v>
      </c>
      <c r="L92" s="50" t="s">
        <v>405</v>
      </c>
      <c r="M92" s="50" t="s">
        <v>316</v>
      </c>
      <c r="N92" s="111">
        <v>5</v>
      </c>
      <c r="O92" s="111">
        <v>5</v>
      </c>
      <c r="P92" s="111">
        <v>5</v>
      </c>
      <c r="Q92" s="111">
        <v>5</v>
      </c>
      <c r="R92" s="111">
        <v>5</v>
      </c>
      <c r="S92" s="111">
        <v>5</v>
      </c>
      <c r="T92" s="111">
        <v>5</v>
      </c>
      <c r="U92" s="111">
        <v>5</v>
      </c>
      <c r="V92" s="111">
        <v>5</v>
      </c>
      <c r="W92" s="111">
        <v>5</v>
      </c>
      <c r="X92" s="111">
        <v>5</v>
      </c>
      <c r="Y92" s="111">
        <v>5</v>
      </c>
      <c r="Z92" s="111">
        <v>5</v>
      </c>
      <c r="AA92" s="111">
        <v>5</v>
      </c>
      <c r="AB92" s="111">
        <v>5</v>
      </c>
      <c r="AC92" s="111">
        <v>5</v>
      </c>
      <c r="AD92" s="111">
        <v>5</v>
      </c>
      <c r="AE92" s="111">
        <v>5</v>
      </c>
      <c r="AF92" s="111">
        <v>5</v>
      </c>
      <c r="AG92" s="111">
        <v>5</v>
      </c>
      <c r="AH92" s="111">
        <v>5</v>
      </c>
      <c r="AI92" s="111">
        <v>5</v>
      </c>
      <c r="AJ92" s="111">
        <v>5</v>
      </c>
      <c r="AK92" s="111">
        <v>5</v>
      </c>
      <c r="AL92" s="111">
        <v>5</v>
      </c>
      <c r="AM92" s="111">
        <v>5</v>
      </c>
      <c r="AN92" s="111">
        <v>5</v>
      </c>
      <c r="AO92" s="111">
        <v>5</v>
      </c>
      <c r="AP92" s="111">
        <v>5</v>
      </c>
      <c r="AQ92" s="111">
        <v>5</v>
      </c>
      <c r="AR92" s="111">
        <v>5</v>
      </c>
      <c r="AS92" s="111">
        <v>5</v>
      </c>
      <c r="AT92" s="111">
        <v>5</v>
      </c>
      <c r="AU92" s="111">
        <v>5</v>
      </c>
      <c r="AV92" s="50" t="s">
        <v>199</v>
      </c>
      <c r="AW92" s="50" t="s">
        <v>199</v>
      </c>
      <c r="AX92" s="50" t="s">
        <v>199</v>
      </c>
      <c r="AY92" s="50" t="s">
        <v>200</v>
      </c>
      <c r="AZ92" s="50" t="s">
        <v>200</v>
      </c>
      <c r="BA92" s="50" t="s">
        <v>200</v>
      </c>
      <c r="BB92" s="50" t="s">
        <v>200</v>
      </c>
      <c r="BC92" s="50" t="s">
        <v>200</v>
      </c>
      <c r="BD92" s="50" t="s">
        <v>200</v>
      </c>
      <c r="BE92" s="50" t="s">
        <v>200</v>
      </c>
      <c r="BF92" s="50" t="s">
        <v>200</v>
      </c>
      <c r="BG92" s="50" t="s">
        <v>200</v>
      </c>
      <c r="BH92" s="50" t="s">
        <v>200</v>
      </c>
      <c r="BI92" s="50" t="s">
        <v>200</v>
      </c>
      <c r="BJ92" s="50" t="s">
        <v>200</v>
      </c>
      <c r="BK92" s="50" t="s">
        <v>200</v>
      </c>
      <c r="BL92" s="50" t="s">
        <v>200</v>
      </c>
      <c r="BM92" s="50" t="s">
        <v>436</v>
      </c>
      <c r="BN92" s="50" t="s">
        <v>318</v>
      </c>
      <c r="BO92" s="50" t="s">
        <v>91</v>
      </c>
      <c r="BP92" s="50" t="s">
        <v>286</v>
      </c>
      <c r="BQ92" s="50" t="s">
        <v>287</v>
      </c>
      <c r="BR92" s="50" t="s">
        <v>414</v>
      </c>
      <c r="BS92" s="111">
        <v>5</v>
      </c>
      <c r="BT92" s="50" t="s">
        <v>286</v>
      </c>
      <c r="BU92" s="50" t="s">
        <v>312</v>
      </c>
      <c r="BV92" s="50" t="s">
        <v>288</v>
      </c>
      <c r="BW92" s="50" t="s">
        <v>289</v>
      </c>
      <c r="BX92" s="50" t="s">
        <v>300</v>
      </c>
      <c r="BY92" s="50" t="s">
        <v>288</v>
      </c>
      <c r="BZ92" s="50" t="s">
        <v>287</v>
      </c>
      <c r="CA92" s="50"/>
      <c r="CB92" s="50" t="s">
        <v>287</v>
      </c>
      <c r="CC92" s="50" t="s">
        <v>287</v>
      </c>
      <c r="CD92" s="50" t="s">
        <v>287</v>
      </c>
      <c r="CE92" s="50"/>
      <c r="CF92" s="50" t="s">
        <v>287</v>
      </c>
      <c r="CG92" s="50" t="s">
        <v>287</v>
      </c>
      <c r="CH92" s="50" t="s">
        <v>486</v>
      </c>
      <c r="CI92" s="50" t="s">
        <v>287</v>
      </c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1:97" ht="36.75" customHeight="1" thickBot="1">
      <c r="A93" s="49">
        <v>46085.280185185184</v>
      </c>
      <c r="B93" s="50" t="s">
        <v>40</v>
      </c>
      <c r="C93" s="50" t="s">
        <v>46</v>
      </c>
      <c r="D93" s="50" t="s">
        <v>369</v>
      </c>
      <c r="E93" s="50" t="s">
        <v>61</v>
      </c>
      <c r="F93" s="50" t="s">
        <v>286</v>
      </c>
      <c r="G93" s="50" t="s">
        <v>73</v>
      </c>
      <c r="H93" s="50" t="s">
        <v>511</v>
      </c>
      <c r="I93" s="50" t="s">
        <v>81</v>
      </c>
      <c r="J93" s="50" t="s">
        <v>286</v>
      </c>
      <c r="K93" s="50" t="s">
        <v>91</v>
      </c>
      <c r="L93" s="50" t="s">
        <v>336</v>
      </c>
      <c r="M93" s="50" t="s">
        <v>316</v>
      </c>
      <c r="N93" s="111">
        <v>5</v>
      </c>
      <c r="O93" s="111">
        <v>5</v>
      </c>
      <c r="P93" s="111">
        <v>5</v>
      </c>
      <c r="Q93" s="111">
        <v>5</v>
      </c>
      <c r="R93" s="111">
        <v>5</v>
      </c>
      <c r="S93" s="111">
        <v>5</v>
      </c>
      <c r="T93" s="111">
        <v>5</v>
      </c>
      <c r="U93" s="111">
        <v>5</v>
      </c>
      <c r="V93" s="111">
        <v>5</v>
      </c>
      <c r="W93" s="111">
        <v>5</v>
      </c>
      <c r="X93" s="111">
        <v>5</v>
      </c>
      <c r="Y93" s="111">
        <v>5</v>
      </c>
      <c r="Z93" s="111">
        <v>5</v>
      </c>
      <c r="AA93" s="111">
        <v>5</v>
      </c>
      <c r="AB93" s="111">
        <v>5</v>
      </c>
      <c r="AC93" s="111">
        <v>5</v>
      </c>
      <c r="AD93" s="111">
        <v>5</v>
      </c>
      <c r="AE93" s="111">
        <v>5</v>
      </c>
      <c r="AF93" s="111">
        <v>5</v>
      </c>
      <c r="AG93" s="111">
        <v>5</v>
      </c>
      <c r="AH93" s="111">
        <v>5</v>
      </c>
      <c r="AI93" s="111">
        <v>5</v>
      </c>
      <c r="AJ93" s="111">
        <v>5</v>
      </c>
      <c r="AK93" s="111">
        <v>5</v>
      </c>
      <c r="AL93" s="111">
        <v>5</v>
      </c>
      <c r="AM93" s="111">
        <v>5</v>
      </c>
      <c r="AN93" s="111">
        <v>5</v>
      </c>
      <c r="AO93" s="111">
        <v>5</v>
      </c>
      <c r="AP93" s="111">
        <v>5</v>
      </c>
      <c r="AQ93" s="111">
        <v>5</v>
      </c>
      <c r="AR93" s="111">
        <v>5</v>
      </c>
      <c r="AS93" s="111">
        <v>5</v>
      </c>
      <c r="AT93" s="111">
        <v>5</v>
      </c>
      <c r="AU93" s="111">
        <v>5</v>
      </c>
      <c r="AV93" s="50" t="s">
        <v>199</v>
      </c>
      <c r="AW93" s="50" t="s">
        <v>199</v>
      </c>
      <c r="AX93" s="50" t="s">
        <v>199</v>
      </c>
      <c r="AY93" s="50" t="s">
        <v>200</v>
      </c>
      <c r="AZ93" s="50" t="s">
        <v>200</v>
      </c>
      <c r="BA93" s="50" t="s">
        <v>200</v>
      </c>
      <c r="BB93" s="50" t="s">
        <v>200</v>
      </c>
      <c r="BC93" s="50" t="s">
        <v>200</v>
      </c>
      <c r="BD93" s="50" t="s">
        <v>200</v>
      </c>
      <c r="BE93" s="50" t="s">
        <v>200</v>
      </c>
      <c r="BF93" s="50" t="s">
        <v>200</v>
      </c>
      <c r="BG93" s="50" t="s">
        <v>200</v>
      </c>
      <c r="BH93" s="50" t="s">
        <v>200</v>
      </c>
      <c r="BI93" s="50" t="s">
        <v>200</v>
      </c>
      <c r="BJ93" s="50" t="s">
        <v>200</v>
      </c>
      <c r="BK93" s="50" t="s">
        <v>200</v>
      </c>
      <c r="BL93" s="50" t="s">
        <v>200</v>
      </c>
      <c r="BM93" s="50" t="s">
        <v>436</v>
      </c>
      <c r="BN93" s="50" t="s">
        <v>318</v>
      </c>
      <c r="BO93" s="50" t="s">
        <v>91</v>
      </c>
      <c r="BP93" s="50" t="s">
        <v>286</v>
      </c>
      <c r="BQ93" s="50" t="s">
        <v>287</v>
      </c>
      <c r="BR93" s="50" t="s">
        <v>416</v>
      </c>
      <c r="BS93" s="111">
        <v>5</v>
      </c>
      <c r="BT93" s="50" t="s">
        <v>286</v>
      </c>
      <c r="BU93" s="50" t="s">
        <v>312</v>
      </c>
      <c r="BV93" s="50" t="s">
        <v>288</v>
      </c>
      <c r="BW93" s="50" t="s">
        <v>303</v>
      </c>
      <c r="BX93" s="50" t="s">
        <v>290</v>
      </c>
      <c r="BY93" s="50" t="s">
        <v>288</v>
      </c>
      <c r="BZ93" s="50" t="s">
        <v>287</v>
      </c>
      <c r="CA93" s="50"/>
      <c r="CB93" s="50" t="s">
        <v>287</v>
      </c>
      <c r="CC93" s="50" t="s">
        <v>287</v>
      </c>
      <c r="CD93" s="50" t="s">
        <v>287</v>
      </c>
      <c r="CE93" s="50"/>
      <c r="CF93" s="50" t="s">
        <v>287</v>
      </c>
      <c r="CG93" s="50" t="s">
        <v>287</v>
      </c>
      <c r="CH93" s="50" t="s">
        <v>486</v>
      </c>
      <c r="CI93" s="50" t="s">
        <v>287</v>
      </c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1:97" ht="36.75" customHeight="1" thickBot="1">
      <c r="A94" s="49">
        <v>46085.282141203701</v>
      </c>
      <c r="B94" s="50" t="s">
        <v>40</v>
      </c>
      <c r="C94" s="50" t="s">
        <v>45</v>
      </c>
      <c r="D94" s="50" t="s">
        <v>374</v>
      </c>
      <c r="E94" s="50" t="s">
        <v>61</v>
      </c>
      <c r="F94" s="50" t="s">
        <v>286</v>
      </c>
      <c r="G94" s="50" t="s">
        <v>73</v>
      </c>
      <c r="H94" s="50" t="s">
        <v>512</v>
      </c>
      <c r="I94" s="50" t="s">
        <v>81</v>
      </c>
      <c r="J94" s="50" t="s">
        <v>286</v>
      </c>
      <c r="K94" s="50" t="s">
        <v>287</v>
      </c>
      <c r="L94" s="50" t="s">
        <v>366</v>
      </c>
      <c r="M94" s="50" t="s">
        <v>319</v>
      </c>
      <c r="N94" s="111">
        <v>5</v>
      </c>
      <c r="O94" s="111">
        <v>5</v>
      </c>
      <c r="P94" s="111">
        <v>5</v>
      </c>
      <c r="Q94" s="111">
        <v>5</v>
      </c>
      <c r="R94" s="111">
        <v>5</v>
      </c>
      <c r="S94" s="111">
        <v>5</v>
      </c>
      <c r="T94" s="111">
        <v>5</v>
      </c>
      <c r="U94" s="111">
        <v>5</v>
      </c>
      <c r="V94" s="111">
        <v>5</v>
      </c>
      <c r="W94" s="111">
        <v>5</v>
      </c>
      <c r="X94" s="111">
        <v>5</v>
      </c>
      <c r="Y94" s="111">
        <v>5</v>
      </c>
      <c r="Z94" s="111">
        <v>5</v>
      </c>
      <c r="AA94" s="111">
        <v>5</v>
      </c>
      <c r="AB94" s="111">
        <v>5</v>
      </c>
      <c r="AC94" s="111">
        <v>5</v>
      </c>
      <c r="AD94" s="111">
        <v>5</v>
      </c>
      <c r="AE94" s="111">
        <v>5</v>
      </c>
      <c r="AF94" s="111">
        <v>5</v>
      </c>
      <c r="AG94" s="111">
        <v>5</v>
      </c>
      <c r="AH94" s="111">
        <v>5</v>
      </c>
      <c r="AI94" s="111">
        <v>5</v>
      </c>
      <c r="AJ94" s="111">
        <v>5</v>
      </c>
      <c r="AK94" s="111">
        <v>5</v>
      </c>
      <c r="AL94" s="111">
        <v>5</v>
      </c>
      <c r="AM94" s="111">
        <v>5</v>
      </c>
      <c r="AN94" s="111">
        <v>5</v>
      </c>
      <c r="AO94" s="111">
        <v>5</v>
      </c>
      <c r="AP94" s="111">
        <v>5</v>
      </c>
      <c r="AQ94" s="111">
        <v>5</v>
      </c>
      <c r="AR94" s="111">
        <v>5</v>
      </c>
      <c r="AS94" s="111">
        <v>5</v>
      </c>
      <c r="AT94" s="111">
        <v>5</v>
      </c>
      <c r="AU94" s="111">
        <v>5</v>
      </c>
      <c r="AV94" s="50" t="s">
        <v>199</v>
      </c>
      <c r="AW94" s="50" t="s">
        <v>199</v>
      </c>
      <c r="AX94" s="50" t="s">
        <v>199</v>
      </c>
      <c r="AY94" s="50" t="s">
        <v>200</v>
      </c>
      <c r="AZ94" s="50" t="s">
        <v>200</v>
      </c>
      <c r="BA94" s="50" t="s">
        <v>200</v>
      </c>
      <c r="BB94" s="50" t="s">
        <v>200</v>
      </c>
      <c r="BC94" s="50" t="s">
        <v>200</v>
      </c>
      <c r="BD94" s="50" t="s">
        <v>200</v>
      </c>
      <c r="BE94" s="50" t="s">
        <v>200</v>
      </c>
      <c r="BF94" s="50" t="s">
        <v>200</v>
      </c>
      <c r="BG94" s="50" t="s">
        <v>200</v>
      </c>
      <c r="BH94" s="50" t="s">
        <v>200</v>
      </c>
      <c r="BI94" s="50" t="s">
        <v>200</v>
      </c>
      <c r="BJ94" s="50" t="s">
        <v>200</v>
      </c>
      <c r="BK94" s="50" t="s">
        <v>200</v>
      </c>
      <c r="BL94" s="50" t="s">
        <v>200</v>
      </c>
      <c r="BM94" s="50" t="s">
        <v>436</v>
      </c>
      <c r="BN94" s="50" t="s">
        <v>318</v>
      </c>
      <c r="BO94" s="50" t="s">
        <v>91</v>
      </c>
      <c r="BP94" s="50" t="s">
        <v>286</v>
      </c>
      <c r="BQ94" s="50" t="s">
        <v>287</v>
      </c>
      <c r="BR94" s="50" t="s">
        <v>382</v>
      </c>
      <c r="BS94" s="111">
        <v>5</v>
      </c>
      <c r="BT94" s="50" t="s">
        <v>286</v>
      </c>
      <c r="BU94" s="50" t="s">
        <v>312</v>
      </c>
      <c r="BV94" s="50" t="s">
        <v>288</v>
      </c>
      <c r="BW94" s="50" t="s">
        <v>303</v>
      </c>
      <c r="BX94" s="50" t="s">
        <v>290</v>
      </c>
      <c r="BY94" s="50" t="s">
        <v>288</v>
      </c>
      <c r="BZ94" s="50" t="s">
        <v>287</v>
      </c>
      <c r="CA94" s="50"/>
      <c r="CB94" s="50" t="s">
        <v>287</v>
      </c>
      <c r="CC94" s="50" t="s">
        <v>287</v>
      </c>
      <c r="CD94" s="50" t="s">
        <v>287</v>
      </c>
      <c r="CE94" s="50"/>
      <c r="CF94" s="50" t="s">
        <v>287</v>
      </c>
      <c r="CG94" s="50" t="s">
        <v>287</v>
      </c>
      <c r="CH94" s="50" t="s">
        <v>486</v>
      </c>
      <c r="CI94" s="50" t="s">
        <v>287</v>
      </c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1:97" ht="36.75" customHeight="1" thickBot="1">
      <c r="A95" s="49">
        <v>46085.283900462964</v>
      </c>
      <c r="B95" s="50" t="s">
        <v>40</v>
      </c>
      <c r="C95" s="50" t="s">
        <v>46</v>
      </c>
      <c r="D95" s="50" t="s">
        <v>374</v>
      </c>
      <c r="E95" s="50" t="s">
        <v>60</v>
      </c>
      <c r="F95" s="50" t="s">
        <v>286</v>
      </c>
      <c r="G95" s="50" t="s">
        <v>73</v>
      </c>
      <c r="H95" s="50" t="s">
        <v>390</v>
      </c>
      <c r="I95" s="50" t="s">
        <v>81</v>
      </c>
      <c r="J95" s="50" t="s">
        <v>286</v>
      </c>
      <c r="K95" s="50" t="s">
        <v>287</v>
      </c>
      <c r="L95" s="50" t="s">
        <v>513</v>
      </c>
      <c r="M95" s="50" t="s">
        <v>319</v>
      </c>
      <c r="N95" s="111">
        <v>5</v>
      </c>
      <c r="O95" s="111">
        <v>5</v>
      </c>
      <c r="P95" s="111">
        <v>5</v>
      </c>
      <c r="Q95" s="111">
        <v>5</v>
      </c>
      <c r="R95" s="111">
        <v>5</v>
      </c>
      <c r="S95" s="111">
        <v>5</v>
      </c>
      <c r="T95" s="111">
        <v>5</v>
      </c>
      <c r="U95" s="111">
        <v>5</v>
      </c>
      <c r="V95" s="111">
        <v>5</v>
      </c>
      <c r="W95" s="111">
        <v>5</v>
      </c>
      <c r="X95" s="111">
        <v>5</v>
      </c>
      <c r="Y95" s="111">
        <v>5</v>
      </c>
      <c r="Z95" s="111">
        <v>5</v>
      </c>
      <c r="AA95" s="111">
        <v>5</v>
      </c>
      <c r="AB95" s="111">
        <v>5</v>
      </c>
      <c r="AC95" s="111">
        <v>5</v>
      </c>
      <c r="AD95" s="111">
        <v>5</v>
      </c>
      <c r="AE95" s="111">
        <v>5</v>
      </c>
      <c r="AF95" s="111">
        <v>5</v>
      </c>
      <c r="AG95" s="111">
        <v>5</v>
      </c>
      <c r="AH95" s="111">
        <v>5</v>
      </c>
      <c r="AI95" s="111">
        <v>5</v>
      </c>
      <c r="AJ95" s="111">
        <v>5</v>
      </c>
      <c r="AK95" s="111">
        <v>5</v>
      </c>
      <c r="AL95" s="111">
        <v>5</v>
      </c>
      <c r="AM95" s="111">
        <v>5</v>
      </c>
      <c r="AN95" s="111">
        <v>5</v>
      </c>
      <c r="AO95" s="111">
        <v>5</v>
      </c>
      <c r="AP95" s="111">
        <v>5</v>
      </c>
      <c r="AQ95" s="111">
        <v>5</v>
      </c>
      <c r="AR95" s="111">
        <v>5</v>
      </c>
      <c r="AS95" s="111">
        <v>5</v>
      </c>
      <c r="AT95" s="111">
        <v>5</v>
      </c>
      <c r="AU95" s="111">
        <v>5</v>
      </c>
      <c r="AV95" s="50" t="s">
        <v>199</v>
      </c>
      <c r="AW95" s="50" t="s">
        <v>199</v>
      </c>
      <c r="AX95" s="50" t="s">
        <v>199</v>
      </c>
      <c r="AY95" s="50" t="s">
        <v>200</v>
      </c>
      <c r="AZ95" s="50" t="s">
        <v>200</v>
      </c>
      <c r="BA95" s="50" t="s">
        <v>200</v>
      </c>
      <c r="BB95" s="50" t="s">
        <v>200</v>
      </c>
      <c r="BC95" s="50" t="s">
        <v>200</v>
      </c>
      <c r="BD95" s="50" t="s">
        <v>200</v>
      </c>
      <c r="BE95" s="50" t="s">
        <v>200</v>
      </c>
      <c r="BF95" s="50" t="s">
        <v>200</v>
      </c>
      <c r="BG95" s="50" t="s">
        <v>200</v>
      </c>
      <c r="BH95" s="50" t="s">
        <v>200</v>
      </c>
      <c r="BI95" s="50" t="s">
        <v>200</v>
      </c>
      <c r="BJ95" s="50" t="s">
        <v>200</v>
      </c>
      <c r="BK95" s="50" t="s">
        <v>200</v>
      </c>
      <c r="BL95" s="50" t="s">
        <v>200</v>
      </c>
      <c r="BM95" s="50" t="s">
        <v>436</v>
      </c>
      <c r="BN95" s="50" t="s">
        <v>318</v>
      </c>
      <c r="BO95" s="50" t="s">
        <v>91</v>
      </c>
      <c r="BP95" s="50" t="s">
        <v>286</v>
      </c>
      <c r="BQ95" s="50" t="s">
        <v>287</v>
      </c>
      <c r="BR95" s="50" t="s">
        <v>404</v>
      </c>
      <c r="BS95" s="111">
        <v>5</v>
      </c>
      <c r="BT95" s="50" t="s">
        <v>286</v>
      </c>
      <c r="BU95" s="50" t="s">
        <v>312</v>
      </c>
      <c r="BV95" s="50" t="s">
        <v>288</v>
      </c>
      <c r="BW95" s="50" t="s">
        <v>303</v>
      </c>
      <c r="BX95" s="50" t="s">
        <v>290</v>
      </c>
      <c r="BY95" s="50" t="s">
        <v>288</v>
      </c>
      <c r="BZ95" s="50" t="s">
        <v>287</v>
      </c>
      <c r="CA95" s="50"/>
      <c r="CB95" s="50" t="s">
        <v>287</v>
      </c>
      <c r="CC95" s="50" t="s">
        <v>287</v>
      </c>
      <c r="CD95" s="50" t="s">
        <v>287</v>
      </c>
      <c r="CE95" s="50"/>
      <c r="CF95" s="50" t="s">
        <v>287</v>
      </c>
      <c r="CG95" s="50" t="s">
        <v>287</v>
      </c>
      <c r="CH95" s="50" t="s">
        <v>486</v>
      </c>
      <c r="CI95" s="50" t="s">
        <v>287</v>
      </c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1:97" ht="36.75" customHeight="1" thickBot="1">
      <c r="A96" s="49">
        <v>46085.288136574076</v>
      </c>
      <c r="B96" s="50" t="s">
        <v>40</v>
      </c>
      <c r="C96" s="50" t="s">
        <v>45</v>
      </c>
      <c r="D96" s="50" t="s">
        <v>374</v>
      </c>
      <c r="E96" s="50" t="s">
        <v>61</v>
      </c>
      <c r="F96" s="50" t="s">
        <v>286</v>
      </c>
      <c r="G96" s="50" t="s">
        <v>292</v>
      </c>
      <c r="H96" s="50" t="s">
        <v>333</v>
      </c>
      <c r="I96" s="50" t="s">
        <v>81</v>
      </c>
      <c r="J96" s="50" t="s">
        <v>286</v>
      </c>
      <c r="K96" s="50" t="s">
        <v>287</v>
      </c>
      <c r="L96" s="50" t="s">
        <v>514</v>
      </c>
      <c r="M96" s="50" t="s">
        <v>319</v>
      </c>
      <c r="N96" s="111">
        <v>5</v>
      </c>
      <c r="O96" s="111">
        <v>5</v>
      </c>
      <c r="P96" s="111">
        <v>5</v>
      </c>
      <c r="Q96" s="111">
        <v>5</v>
      </c>
      <c r="R96" s="111">
        <v>5</v>
      </c>
      <c r="S96" s="111">
        <v>5</v>
      </c>
      <c r="T96" s="111">
        <v>5</v>
      </c>
      <c r="U96" s="111">
        <v>5</v>
      </c>
      <c r="V96" s="111">
        <v>5</v>
      </c>
      <c r="W96" s="111">
        <v>5</v>
      </c>
      <c r="X96" s="111">
        <v>5</v>
      </c>
      <c r="Y96" s="111">
        <v>5</v>
      </c>
      <c r="Z96" s="111">
        <v>5</v>
      </c>
      <c r="AA96" s="111">
        <v>5</v>
      </c>
      <c r="AB96" s="111">
        <v>5</v>
      </c>
      <c r="AC96" s="111">
        <v>5</v>
      </c>
      <c r="AD96" s="111">
        <v>5</v>
      </c>
      <c r="AE96" s="111">
        <v>5</v>
      </c>
      <c r="AF96" s="111">
        <v>5</v>
      </c>
      <c r="AG96" s="111">
        <v>5</v>
      </c>
      <c r="AH96" s="111">
        <v>5</v>
      </c>
      <c r="AI96" s="111">
        <v>5</v>
      </c>
      <c r="AJ96" s="111">
        <v>5</v>
      </c>
      <c r="AK96" s="111">
        <v>5</v>
      </c>
      <c r="AL96" s="111">
        <v>5</v>
      </c>
      <c r="AM96" s="111">
        <v>5</v>
      </c>
      <c r="AN96" s="111">
        <v>5</v>
      </c>
      <c r="AO96" s="111">
        <v>5</v>
      </c>
      <c r="AP96" s="111">
        <v>5</v>
      </c>
      <c r="AQ96" s="111">
        <v>5</v>
      </c>
      <c r="AR96" s="111">
        <v>5</v>
      </c>
      <c r="AS96" s="111">
        <v>5</v>
      </c>
      <c r="AT96" s="111">
        <v>5</v>
      </c>
      <c r="AU96" s="111">
        <v>5</v>
      </c>
      <c r="AV96" s="50" t="s">
        <v>199</v>
      </c>
      <c r="AW96" s="50" t="s">
        <v>199</v>
      </c>
      <c r="AX96" s="50" t="s">
        <v>199</v>
      </c>
      <c r="AY96" s="50" t="s">
        <v>200</v>
      </c>
      <c r="AZ96" s="50" t="s">
        <v>200</v>
      </c>
      <c r="BA96" s="50" t="s">
        <v>200</v>
      </c>
      <c r="BB96" s="50" t="s">
        <v>200</v>
      </c>
      <c r="BC96" s="50" t="s">
        <v>200</v>
      </c>
      <c r="BD96" s="50" t="s">
        <v>200</v>
      </c>
      <c r="BE96" s="50" t="s">
        <v>200</v>
      </c>
      <c r="BF96" s="50" t="s">
        <v>200</v>
      </c>
      <c r="BG96" s="50" t="s">
        <v>200</v>
      </c>
      <c r="BH96" s="50" t="s">
        <v>200</v>
      </c>
      <c r="BI96" s="50" t="s">
        <v>200</v>
      </c>
      <c r="BJ96" s="50" t="s">
        <v>200</v>
      </c>
      <c r="BK96" s="50" t="s">
        <v>200</v>
      </c>
      <c r="BL96" s="50" t="s">
        <v>200</v>
      </c>
      <c r="BM96" s="50" t="s">
        <v>436</v>
      </c>
      <c r="BN96" s="50" t="s">
        <v>318</v>
      </c>
      <c r="BO96" s="50" t="s">
        <v>91</v>
      </c>
      <c r="BP96" s="50" t="s">
        <v>286</v>
      </c>
      <c r="BQ96" s="50" t="s">
        <v>287</v>
      </c>
      <c r="BR96" s="50" t="s">
        <v>382</v>
      </c>
      <c r="BS96" s="111">
        <v>5</v>
      </c>
      <c r="BT96" s="50" t="s">
        <v>286</v>
      </c>
      <c r="BU96" s="50" t="s">
        <v>312</v>
      </c>
      <c r="BV96" s="50" t="s">
        <v>288</v>
      </c>
      <c r="BW96" s="50" t="s">
        <v>293</v>
      </c>
      <c r="BX96" s="50" t="s">
        <v>290</v>
      </c>
      <c r="BY96" s="50" t="s">
        <v>288</v>
      </c>
      <c r="BZ96" s="50" t="s">
        <v>287</v>
      </c>
      <c r="CA96" s="50"/>
      <c r="CB96" s="50" t="s">
        <v>287</v>
      </c>
      <c r="CC96" s="50" t="s">
        <v>287</v>
      </c>
      <c r="CD96" s="50" t="s">
        <v>287</v>
      </c>
      <c r="CE96" s="50"/>
      <c r="CF96" s="50" t="s">
        <v>287</v>
      </c>
      <c r="CG96" s="50" t="s">
        <v>287</v>
      </c>
      <c r="CH96" s="50" t="s">
        <v>486</v>
      </c>
      <c r="CI96" s="50" t="s">
        <v>287</v>
      </c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1:97" ht="36.75" customHeight="1" thickBot="1">
      <c r="A97" s="49">
        <v>46085.290798611109</v>
      </c>
      <c r="B97" s="50" t="s">
        <v>40</v>
      </c>
      <c r="C97" s="50" t="s">
        <v>45</v>
      </c>
      <c r="D97" s="50" t="s">
        <v>374</v>
      </c>
      <c r="E97" s="50" t="s">
        <v>59</v>
      </c>
      <c r="F97" s="50" t="s">
        <v>286</v>
      </c>
      <c r="G97" s="50" t="s">
        <v>73</v>
      </c>
      <c r="H97" s="50" t="s">
        <v>515</v>
      </c>
      <c r="I97" s="50" t="s">
        <v>81</v>
      </c>
      <c r="J97" s="50" t="s">
        <v>286</v>
      </c>
      <c r="K97" s="50" t="s">
        <v>287</v>
      </c>
      <c r="L97" s="50" t="s">
        <v>336</v>
      </c>
      <c r="M97" s="50" t="s">
        <v>319</v>
      </c>
      <c r="N97" s="111">
        <v>5</v>
      </c>
      <c r="O97" s="111">
        <v>5</v>
      </c>
      <c r="P97" s="111">
        <v>5</v>
      </c>
      <c r="Q97" s="111">
        <v>5</v>
      </c>
      <c r="R97" s="111">
        <v>5</v>
      </c>
      <c r="S97" s="111">
        <v>5</v>
      </c>
      <c r="T97" s="111">
        <v>5</v>
      </c>
      <c r="U97" s="111">
        <v>5</v>
      </c>
      <c r="V97" s="111">
        <v>5</v>
      </c>
      <c r="W97" s="111">
        <v>5</v>
      </c>
      <c r="X97" s="111">
        <v>5</v>
      </c>
      <c r="Y97" s="111">
        <v>5</v>
      </c>
      <c r="Z97" s="111">
        <v>5</v>
      </c>
      <c r="AA97" s="111">
        <v>5</v>
      </c>
      <c r="AB97" s="111">
        <v>5</v>
      </c>
      <c r="AC97" s="111">
        <v>5</v>
      </c>
      <c r="AD97" s="111">
        <v>5</v>
      </c>
      <c r="AE97" s="111">
        <v>5</v>
      </c>
      <c r="AF97" s="111">
        <v>5</v>
      </c>
      <c r="AG97" s="111">
        <v>5</v>
      </c>
      <c r="AH97" s="111">
        <v>5</v>
      </c>
      <c r="AI97" s="111">
        <v>5</v>
      </c>
      <c r="AJ97" s="111">
        <v>5</v>
      </c>
      <c r="AK97" s="111">
        <v>5</v>
      </c>
      <c r="AL97" s="111">
        <v>5</v>
      </c>
      <c r="AM97" s="111">
        <v>5</v>
      </c>
      <c r="AN97" s="111">
        <v>5</v>
      </c>
      <c r="AO97" s="111">
        <v>5</v>
      </c>
      <c r="AP97" s="111">
        <v>5</v>
      </c>
      <c r="AQ97" s="111">
        <v>5</v>
      </c>
      <c r="AR97" s="111">
        <v>5</v>
      </c>
      <c r="AS97" s="111">
        <v>5</v>
      </c>
      <c r="AT97" s="111">
        <v>5</v>
      </c>
      <c r="AU97" s="111">
        <v>5</v>
      </c>
      <c r="AV97" s="50" t="s">
        <v>199</v>
      </c>
      <c r="AW97" s="50" t="s">
        <v>199</v>
      </c>
      <c r="AX97" s="50" t="s">
        <v>199</v>
      </c>
      <c r="AY97" s="50" t="s">
        <v>200</v>
      </c>
      <c r="AZ97" s="50" t="s">
        <v>200</v>
      </c>
      <c r="BA97" s="50" t="s">
        <v>200</v>
      </c>
      <c r="BB97" s="50" t="s">
        <v>200</v>
      </c>
      <c r="BC97" s="50" t="s">
        <v>200</v>
      </c>
      <c r="BD97" s="50" t="s">
        <v>200</v>
      </c>
      <c r="BE97" s="50" t="s">
        <v>200</v>
      </c>
      <c r="BF97" s="50" t="s">
        <v>200</v>
      </c>
      <c r="BG97" s="50" t="s">
        <v>200</v>
      </c>
      <c r="BH97" s="50" t="s">
        <v>200</v>
      </c>
      <c r="BI97" s="50" t="s">
        <v>200</v>
      </c>
      <c r="BJ97" s="50" t="s">
        <v>200</v>
      </c>
      <c r="BK97" s="50" t="s">
        <v>200</v>
      </c>
      <c r="BL97" s="50" t="s">
        <v>200</v>
      </c>
      <c r="BM97" s="50" t="s">
        <v>436</v>
      </c>
      <c r="BN97" s="50" t="s">
        <v>318</v>
      </c>
      <c r="BO97" s="50" t="s">
        <v>91</v>
      </c>
      <c r="BP97" s="50" t="s">
        <v>286</v>
      </c>
      <c r="BQ97" s="50" t="s">
        <v>287</v>
      </c>
      <c r="BR97" s="50" t="s">
        <v>382</v>
      </c>
      <c r="BS97" s="111">
        <v>5</v>
      </c>
      <c r="BT97" s="50" t="s">
        <v>510</v>
      </c>
      <c r="BU97" s="50" t="s">
        <v>312</v>
      </c>
      <c r="BV97" s="50" t="s">
        <v>288</v>
      </c>
      <c r="BW97" s="50" t="s">
        <v>297</v>
      </c>
      <c r="BX97" s="50" t="s">
        <v>296</v>
      </c>
      <c r="BY97" s="50" t="s">
        <v>288</v>
      </c>
      <c r="BZ97" s="50" t="s">
        <v>287</v>
      </c>
      <c r="CA97" s="50"/>
      <c r="CB97" s="50" t="s">
        <v>287</v>
      </c>
      <c r="CC97" s="50" t="s">
        <v>287</v>
      </c>
      <c r="CD97" s="50" t="s">
        <v>287</v>
      </c>
      <c r="CE97" s="50"/>
      <c r="CF97" s="50" t="s">
        <v>287</v>
      </c>
      <c r="CG97" s="50" t="s">
        <v>287</v>
      </c>
      <c r="CH97" s="50" t="s">
        <v>486</v>
      </c>
      <c r="CI97" s="50" t="s">
        <v>287</v>
      </c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1:97" ht="36.75" customHeight="1" thickBot="1">
      <c r="A98" s="49">
        <v>46085.295937499999</v>
      </c>
      <c r="B98" s="50" t="s">
        <v>40</v>
      </c>
      <c r="C98" s="50" t="s">
        <v>45</v>
      </c>
      <c r="D98" s="50" t="s">
        <v>374</v>
      </c>
      <c r="E98" s="50" t="s">
        <v>61</v>
      </c>
      <c r="F98" s="50" t="s">
        <v>286</v>
      </c>
      <c r="G98" s="50" t="s">
        <v>73</v>
      </c>
      <c r="H98" s="50" t="s">
        <v>456</v>
      </c>
      <c r="I98" s="50" t="s">
        <v>81</v>
      </c>
      <c r="J98" s="50" t="s">
        <v>286</v>
      </c>
      <c r="K98" s="50" t="s">
        <v>287</v>
      </c>
      <c r="L98" s="50" t="s">
        <v>336</v>
      </c>
      <c r="M98" s="50" t="s">
        <v>7</v>
      </c>
      <c r="N98" s="111">
        <v>5</v>
      </c>
      <c r="O98" s="111">
        <v>5</v>
      </c>
      <c r="P98" s="111">
        <v>5</v>
      </c>
      <c r="Q98" s="111">
        <v>5</v>
      </c>
      <c r="R98" s="111">
        <v>5</v>
      </c>
      <c r="S98" s="111">
        <v>5</v>
      </c>
      <c r="T98" s="111">
        <v>5</v>
      </c>
      <c r="U98" s="111">
        <v>5</v>
      </c>
      <c r="V98" s="111">
        <v>5</v>
      </c>
      <c r="W98" s="111">
        <v>5</v>
      </c>
      <c r="X98" s="111">
        <v>5</v>
      </c>
      <c r="Y98" s="111">
        <v>5</v>
      </c>
      <c r="Z98" s="111">
        <v>5</v>
      </c>
      <c r="AA98" s="111">
        <v>5</v>
      </c>
      <c r="AB98" s="111">
        <v>5</v>
      </c>
      <c r="AC98" s="111">
        <v>5</v>
      </c>
      <c r="AD98" s="111">
        <v>5</v>
      </c>
      <c r="AE98" s="111">
        <v>5</v>
      </c>
      <c r="AF98" s="111">
        <v>5</v>
      </c>
      <c r="AG98" s="111">
        <v>5</v>
      </c>
      <c r="AH98" s="111">
        <v>5</v>
      </c>
      <c r="AI98" s="111">
        <v>5</v>
      </c>
      <c r="AJ98" s="111">
        <v>5</v>
      </c>
      <c r="AK98" s="111">
        <v>5</v>
      </c>
      <c r="AL98" s="111">
        <v>5</v>
      </c>
      <c r="AM98" s="111">
        <v>5</v>
      </c>
      <c r="AN98" s="111">
        <v>5</v>
      </c>
      <c r="AO98" s="111">
        <v>5</v>
      </c>
      <c r="AP98" s="111">
        <v>5</v>
      </c>
      <c r="AQ98" s="111">
        <v>5</v>
      </c>
      <c r="AR98" s="111">
        <v>5</v>
      </c>
      <c r="AS98" s="111">
        <v>5</v>
      </c>
      <c r="AT98" s="111">
        <v>5</v>
      </c>
      <c r="AU98" s="111">
        <v>5</v>
      </c>
      <c r="AV98" s="50" t="s">
        <v>199</v>
      </c>
      <c r="AW98" s="50" t="s">
        <v>199</v>
      </c>
      <c r="AX98" s="50" t="s">
        <v>199</v>
      </c>
      <c r="AY98" s="50" t="s">
        <v>200</v>
      </c>
      <c r="AZ98" s="50" t="s">
        <v>200</v>
      </c>
      <c r="BA98" s="50" t="s">
        <v>200</v>
      </c>
      <c r="BB98" s="50" t="s">
        <v>200</v>
      </c>
      <c r="BC98" s="50" t="s">
        <v>200</v>
      </c>
      <c r="BD98" s="50" t="s">
        <v>200</v>
      </c>
      <c r="BE98" s="50" t="s">
        <v>200</v>
      </c>
      <c r="BF98" s="50" t="s">
        <v>200</v>
      </c>
      <c r="BG98" s="50" t="s">
        <v>200</v>
      </c>
      <c r="BH98" s="50" t="s">
        <v>200</v>
      </c>
      <c r="BI98" s="50" t="s">
        <v>200</v>
      </c>
      <c r="BJ98" s="50" t="s">
        <v>200</v>
      </c>
      <c r="BK98" s="50" t="s">
        <v>200</v>
      </c>
      <c r="BL98" s="50" t="s">
        <v>200</v>
      </c>
      <c r="BM98" s="50" t="s">
        <v>436</v>
      </c>
      <c r="BN98" s="50" t="s">
        <v>318</v>
      </c>
      <c r="BO98" s="50" t="s">
        <v>91</v>
      </c>
      <c r="BP98" s="50" t="s">
        <v>286</v>
      </c>
      <c r="BQ98" s="50" t="s">
        <v>287</v>
      </c>
      <c r="BR98" s="50" t="s">
        <v>410</v>
      </c>
      <c r="BS98" s="111">
        <v>4</v>
      </c>
      <c r="BT98" s="50" t="s">
        <v>286</v>
      </c>
      <c r="BU98" s="50" t="s">
        <v>312</v>
      </c>
      <c r="BV98" s="50" t="s">
        <v>288</v>
      </c>
      <c r="BW98" s="50" t="s">
        <v>297</v>
      </c>
      <c r="BX98" s="50" t="s">
        <v>290</v>
      </c>
      <c r="BY98" s="50" t="s">
        <v>288</v>
      </c>
      <c r="BZ98" s="50" t="s">
        <v>287</v>
      </c>
      <c r="CA98" s="50"/>
      <c r="CB98" s="50" t="s">
        <v>287</v>
      </c>
      <c r="CC98" s="50" t="s">
        <v>287</v>
      </c>
      <c r="CD98" s="50" t="s">
        <v>287</v>
      </c>
      <c r="CE98" s="50"/>
      <c r="CF98" s="50" t="s">
        <v>287</v>
      </c>
      <c r="CG98" s="50" t="s">
        <v>287</v>
      </c>
      <c r="CH98" s="50" t="s">
        <v>486</v>
      </c>
      <c r="CI98" s="50" t="s">
        <v>287</v>
      </c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1:97" ht="36.75" customHeight="1" thickBot="1">
      <c r="A99" s="49">
        <v>46085.304594907408</v>
      </c>
      <c r="B99" s="50" t="s">
        <v>39</v>
      </c>
      <c r="C99" s="50" t="s">
        <v>45</v>
      </c>
      <c r="D99" s="50" t="s">
        <v>369</v>
      </c>
      <c r="E99" s="50" t="s">
        <v>59</v>
      </c>
      <c r="F99" s="50" t="s">
        <v>286</v>
      </c>
      <c r="G99" s="50" t="s">
        <v>73</v>
      </c>
      <c r="H99" s="50" t="s">
        <v>516</v>
      </c>
      <c r="I99" s="50" t="s">
        <v>91</v>
      </c>
      <c r="J99" s="50" t="s">
        <v>286</v>
      </c>
      <c r="K99" s="50" t="s">
        <v>291</v>
      </c>
      <c r="L99" s="50" t="s">
        <v>286</v>
      </c>
      <c r="M99" s="50" t="s">
        <v>370</v>
      </c>
      <c r="N99" s="111">
        <v>5</v>
      </c>
      <c r="O99" s="111">
        <v>5</v>
      </c>
      <c r="P99" s="111">
        <v>5</v>
      </c>
      <c r="Q99" s="111">
        <v>5</v>
      </c>
      <c r="R99" s="111">
        <v>5</v>
      </c>
      <c r="S99" s="111">
        <v>6</v>
      </c>
      <c r="T99" s="111">
        <v>5</v>
      </c>
      <c r="U99" s="111">
        <v>5</v>
      </c>
      <c r="V99" s="111">
        <v>6</v>
      </c>
      <c r="W99" s="111">
        <v>6</v>
      </c>
      <c r="X99" s="111">
        <v>6</v>
      </c>
      <c r="Y99" s="111">
        <v>6</v>
      </c>
      <c r="Z99" s="111">
        <v>6</v>
      </c>
      <c r="AA99" s="111">
        <v>6</v>
      </c>
      <c r="AB99" s="111">
        <v>6</v>
      </c>
      <c r="AC99" s="111">
        <v>5</v>
      </c>
      <c r="AD99" s="111">
        <v>5</v>
      </c>
      <c r="AE99" s="111">
        <v>5</v>
      </c>
      <c r="AF99" s="111">
        <v>5</v>
      </c>
      <c r="AG99" s="111">
        <v>5</v>
      </c>
      <c r="AH99" s="111">
        <v>5</v>
      </c>
      <c r="AI99" s="111">
        <v>5</v>
      </c>
      <c r="AJ99" s="111">
        <v>5</v>
      </c>
      <c r="AK99" s="111">
        <v>5</v>
      </c>
      <c r="AL99" s="111">
        <v>5</v>
      </c>
      <c r="AM99" s="111">
        <v>5</v>
      </c>
      <c r="AN99" s="111">
        <v>5</v>
      </c>
      <c r="AO99" s="111">
        <v>5</v>
      </c>
      <c r="AP99" s="111">
        <v>5</v>
      </c>
      <c r="AQ99" s="111">
        <v>6</v>
      </c>
      <c r="AR99" s="111">
        <v>5</v>
      </c>
      <c r="AS99" s="111">
        <v>5</v>
      </c>
      <c r="AT99" s="111">
        <v>5</v>
      </c>
      <c r="AU99" s="111">
        <v>5</v>
      </c>
      <c r="AV99" s="50" t="s">
        <v>202</v>
      </c>
      <c r="AW99" s="50" t="s">
        <v>202</v>
      </c>
      <c r="AX99" s="50" t="s">
        <v>201</v>
      </c>
      <c r="AY99" s="50" t="s">
        <v>199</v>
      </c>
      <c r="AZ99" s="50" t="s">
        <v>202</v>
      </c>
      <c r="BA99" s="50" t="s">
        <v>199</v>
      </c>
      <c r="BB99" s="50" t="s">
        <v>202</v>
      </c>
      <c r="BC99" s="50" t="s">
        <v>202</v>
      </c>
      <c r="BD99" s="50" t="s">
        <v>202</v>
      </c>
      <c r="BE99" s="50" t="s">
        <v>200</v>
      </c>
      <c r="BF99" s="50" t="s">
        <v>201</v>
      </c>
      <c r="BG99" s="50" t="s">
        <v>202</v>
      </c>
      <c r="BH99" s="50" t="s">
        <v>200</v>
      </c>
      <c r="BI99" s="50" t="s">
        <v>202</v>
      </c>
      <c r="BJ99" s="50" t="s">
        <v>202</v>
      </c>
      <c r="BK99" s="50" t="s">
        <v>202</v>
      </c>
      <c r="BL99" s="50" t="s">
        <v>202</v>
      </c>
      <c r="BM99" s="50" t="s">
        <v>436</v>
      </c>
      <c r="BN99" s="50" t="s">
        <v>318</v>
      </c>
      <c r="BO99" s="50" t="s">
        <v>91</v>
      </c>
      <c r="BP99" s="50" t="s">
        <v>286</v>
      </c>
      <c r="BQ99" s="50" t="s">
        <v>287</v>
      </c>
      <c r="BR99" s="50" t="s">
        <v>372</v>
      </c>
      <c r="BS99" s="111">
        <v>5</v>
      </c>
      <c r="BT99" s="50" t="s">
        <v>286</v>
      </c>
      <c r="BU99" s="50" t="s">
        <v>348</v>
      </c>
      <c r="BV99" s="50" t="s">
        <v>288</v>
      </c>
      <c r="BW99" s="50" t="s">
        <v>350</v>
      </c>
      <c r="BX99" s="50" t="s">
        <v>387</v>
      </c>
      <c r="BY99" s="50" t="s">
        <v>288</v>
      </c>
      <c r="BZ99" s="50" t="s">
        <v>287</v>
      </c>
      <c r="CA99" s="50"/>
      <c r="CB99" s="50" t="s">
        <v>287</v>
      </c>
      <c r="CC99" s="50" t="s">
        <v>287</v>
      </c>
      <c r="CD99" s="50" t="s">
        <v>287</v>
      </c>
      <c r="CE99" s="50"/>
      <c r="CF99" s="50" t="s">
        <v>287</v>
      </c>
      <c r="CG99" s="50" t="s">
        <v>287</v>
      </c>
      <c r="CH99" s="50" t="s">
        <v>486</v>
      </c>
      <c r="CI99" s="50" t="s">
        <v>287</v>
      </c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1:97" ht="36.75" customHeight="1" thickBot="1">
      <c r="A100" s="49">
        <v>46085.30914351852</v>
      </c>
      <c r="B100" s="50" t="s">
        <v>39</v>
      </c>
      <c r="C100" s="50" t="s">
        <v>46</v>
      </c>
      <c r="D100" s="50" t="s">
        <v>369</v>
      </c>
      <c r="E100" s="50" t="s">
        <v>285</v>
      </c>
      <c r="F100" s="50" t="s">
        <v>286</v>
      </c>
      <c r="G100" s="50" t="s">
        <v>74</v>
      </c>
      <c r="H100" s="50" t="s">
        <v>453</v>
      </c>
      <c r="I100" s="50" t="s">
        <v>91</v>
      </c>
      <c r="J100" s="50" t="s">
        <v>286</v>
      </c>
      <c r="K100" s="50" t="s">
        <v>291</v>
      </c>
      <c r="L100" s="50" t="s">
        <v>286</v>
      </c>
      <c r="M100" s="50" t="s">
        <v>370</v>
      </c>
      <c r="N100" s="111">
        <v>5</v>
      </c>
      <c r="O100" s="111">
        <v>5</v>
      </c>
      <c r="P100" s="111">
        <v>5</v>
      </c>
      <c r="Q100" s="111">
        <v>5</v>
      </c>
      <c r="R100" s="111">
        <v>6</v>
      </c>
      <c r="S100" s="111">
        <v>6</v>
      </c>
      <c r="T100" s="111">
        <v>4</v>
      </c>
      <c r="U100" s="111">
        <v>5</v>
      </c>
      <c r="V100" s="111">
        <v>6</v>
      </c>
      <c r="W100" s="111">
        <v>6</v>
      </c>
      <c r="X100" s="111">
        <v>6</v>
      </c>
      <c r="Y100" s="111">
        <v>6</v>
      </c>
      <c r="Z100" s="111">
        <v>6</v>
      </c>
      <c r="AA100" s="111">
        <v>6</v>
      </c>
      <c r="AB100" s="111">
        <v>6</v>
      </c>
      <c r="AC100" s="111">
        <v>4</v>
      </c>
      <c r="AD100" s="111">
        <v>4</v>
      </c>
      <c r="AE100" s="111">
        <v>4</v>
      </c>
      <c r="AF100" s="111">
        <v>4</v>
      </c>
      <c r="AG100" s="111">
        <v>4</v>
      </c>
      <c r="AH100" s="111">
        <v>4</v>
      </c>
      <c r="AI100" s="111">
        <v>4</v>
      </c>
      <c r="AJ100" s="111">
        <v>4</v>
      </c>
      <c r="AK100" s="111">
        <v>3</v>
      </c>
      <c r="AL100" s="111">
        <v>5</v>
      </c>
      <c r="AM100" s="111">
        <v>5</v>
      </c>
      <c r="AN100" s="111">
        <v>5</v>
      </c>
      <c r="AO100" s="111">
        <v>5</v>
      </c>
      <c r="AP100" s="111">
        <v>5</v>
      </c>
      <c r="AQ100" s="111">
        <v>6</v>
      </c>
      <c r="AR100" s="111">
        <v>5</v>
      </c>
      <c r="AS100" s="111">
        <v>5</v>
      </c>
      <c r="AT100" s="111">
        <v>5</v>
      </c>
      <c r="AU100" s="111">
        <v>5</v>
      </c>
      <c r="AV100" s="50" t="s">
        <v>202</v>
      </c>
      <c r="AW100" s="50" t="s">
        <v>202</v>
      </c>
      <c r="AX100" s="50" t="s">
        <v>201</v>
      </c>
      <c r="AY100" s="50" t="s">
        <v>199</v>
      </c>
      <c r="AZ100" s="50" t="s">
        <v>202</v>
      </c>
      <c r="BA100" s="50" t="s">
        <v>199</v>
      </c>
      <c r="BB100" s="50" t="s">
        <v>202</v>
      </c>
      <c r="BC100" s="50" t="s">
        <v>202</v>
      </c>
      <c r="BD100" s="50" t="s">
        <v>202</v>
      </c>
      <c r="BE100" s="50" t="s">
        <v>201</v>
      </c>
      <c r="BF100" s="50" t="s">
        <v>199</v>
      </c>
      <c r="BG100" s="50" t="s">
        <v>202</v>
      </c>
      <c r="BH100" s="50" t="s">
        <v>200</v>
      </c>
      <c r="BI100" s="50" t="s">
        <v>199</v>
      </c>
      <c r="BJ100" s="50" t="s">
        <v>199</v>
      </c>
      <c r="BK100" s="50" t="s">
        <v>199</v>
      </c>
      <c r="BL100" s="50" t="s">
        <v>199</v>
      </c>
      <c r="BM100" s="50" t="s">
        <v>436</v>
      </c>
      <c r="BN100" s="50" t="s">
        <v>480</v>
      </c>
      <c r="BO100" s="50" t="s">
        <v>91</v>
      </c>
      <c r="BP100" s="50" t="s">
        <v>286</v>
      </c>
      <c r="BQ100" s="50" t="s">
        <v>287</v>
      </c>
      <c r="BR100" s="50" t="s">
        <v>394</v>
      </c>
      <c r="BS100" s="111">
        <v>5</v>
      </c>
      <c r="BT100" s="50" t="s">
        <v>286</v>
      </c>
      <c r="BU100" s="50" t="s">
        <v>348</v>
      </c>
      <c r="BV100" s="50" t="s">
        <v>288</v>
      </c>
      <c r="BW100" s="50" t="s">
        <v>350</v>
      </c>
      <c r="BX100" s="50" t="s">
        <v>294</v>
      </c>
      <c r="BY100" s="50" t="s">
        <v>288</v>
      </c>
      <c r="BZ100" s="50" t="s">
        <v>287</v>
      </c>
      <c r="CA100" s="50"/>
      <c r="CB100" s="50" t="s">
        <v>287</v>
      </c>
      <c r="CC100" s="50" t="s">
        <v>287</v>
      </c>
      <c r="CD100" s="50" t="s">
        <v>287</v>
      </c>
      <c r="CE100" s="50"/>
      <c r="CF100" s="50" t="s">
        <v>287</v>
      </c>
      <c r="CG100" s="50" t="s">
        <v>287</v>
      </c>
      <c r="CH100" s="50" t="s">
        <v>486</v>
      </c>
      <c r="CI100" s="50" t="s">
        <v>287</v>
      </c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1:97" ht="36.75" customHeight="1" thickBot="1">
      <c r="A101" s="49">
        <v>46085.317395833335</v>
      </c>
      <c r="B101" s="50" t="s">
        <v>40</v>
      </c>
      <c r="C101" s="50" t="s">
        <v>45</v>
      </c>
      <c r="D101" s="50" t="s">
        <v>374</v>
      </c>
      <c r="E101" s="50" t="s">
        <v>61</v>
      </c>
      <c r="F101" s="50" t="s">
        <v>286</v>
      </c>
      <c r="G101" s="50" t="s">
        <v>74</v>
      </c>
      <c r="H101" s="50" t="s">
        <v>306</v>
      </c>
      <c r="I101" s="50" t="s">
        <v>81</v>
      </c>
      <c r="J101" s="50" t="s">
        <v>286</v>
      </c>
      <c r="K101" s="50" t="s">
        <v>287</v>
      </c>
      <c r="L101" s="50" t="s">
        <v>336</v>
      </c>
      <c r="M101" s="50" t="s">
        <v>7</v>
      </c>
      <c r="N101" s="111">
        <v>5</v>
      </c>
      <c r="O101" s="111">
        <v>5</v>
      </c>
      <c r="P101" s="111">
        <v>5</v>
      </c>
      <c r="Q101" s="111">
        <v>5</v>
      </c>
      <c r="R101" s="111">
        <v>5</v>
      </c>
      <c r="S101" s="111">
        <v>5</v>
      </c>
      <c r="T101" s="111">
        <v>5</v>
      </c>
      <c r="U101" s="111">
        <v>5</v>
      </c>
      <c r="V101" s="111">
        <v>5</v>
      </c>
      <c r="W101" s="111">
        <v>5</v>
      </c>
      <c r="X101" s="111">
        <v>5</v>
      </c>
      <c r="Y101" s="111">
        <v>5</v>
      </c>
      <c r="Z101" s="111">
        <v>5</v>
      </c>
      <c r="AA101" s="111">
        <v>5</v>
      </c>
      <c r="AB101" s="111">
        <v>5</v>
      </c>
      <c r="AC101" s="111">
        <v>5</v>
      </c>
      <c r="AD101" s="111">
        <v>5</v>
      </c>
      <c r="AE101" s="111">
        <v>5</v>
      </c>
      <c r="AF101" s="111">
        <v>5</v>
      </c>
      <c r="AG101" s="111">
        <v>5</v>
      </c>
      <c r="AH101" s="111">
        <v>5</v>
      </c>
      <c r="AI101" s="111">
        <v>5</v>
      </c>
      <c r="AJ101" s="111">
        <v>5</v>
      </c>
      <c r="AK101" s="111">
        <v>5</v>
      </c>
      <c r="AL101" s="111">
        <v>5</v>
      </c>
      <c r="AM101" s="111">
        <v>5</v>
      </c>
      <c r="AN101" s="111">
        <v>5</v>
      </c>
      <c r="AO101" s="111">
        <v>5</v>
      </c>
      <c r="AP101" s="111">
        <v>5</v>
      </c>
      <c r="AQ101" s="111">
        <v>5</v>
      </c>
      <c r="AR101" s="111">
        <v>5</v>
      </c>
      <c r="AS101" s="111">
        <v>5</v>
      </c>
      <c r="AT101" s="111">
        <v>5</v>
      </c>
      <c r="AU101" s="111">
        <v>5</v>
      </c>
      <c r="AV101" s="50" t="s">
        <v>199</v>
      </c>
      <c r="AW101" s="50" t="s">
        <v>199</v>
      </c>
      <c r="AX101" s="50" t="s">
        <v>199</v>
      </c>
      <c r="AY101" s="50" t="s">
        <v>200</v>
      </c>
      <c r="AZ101" s="50" t="s">
        <v>200</v>
      </c>
      <c r="BA101" s="50" t="s">
        <v>200</v>
      </c>
      <c r="BB101" s="50" t="s">
        <v>200</v>
      </c>
      <c r="BC101" s="50" t="s">
        <v>200</v>
      </c>
      <c r="BD101" s="50" t="s">
        <v>200</v>
      </c>
      <c r="BE101" s="50" t="s">
        <v>200</v>
      </c>
      <c r="BF101" s="50" t="s">
        <v>200</v>
      </c>
      <c r="BG101" s="50" t="s">
        <v>200</v>
      </c>
      <c r="BH101" s="50" t="s">
        <v>200</v>
      </c>
      <c r="BI101" s="50" t="s">
        <v>200</v>
      </c>
      <c r="BJ101" s="50" t="s">
        <v>200</v>
      </c>
      <c r="BK101" s="50" t="s">
        <v>200</v>
      </c>
      <c r="BL101" s="50" t="s">
        <v>200</v>
      </c>
      <c r="BM101" s="50" t="s">
        <v>436</v>
      </c>
      <c r="BN101" s="50" t="s">
        <v>318</v>
      </c>
      <c r="BO101" s="50" t="s">
        <v>91</v>
      </c>
      <c r="BP101" s="50" t="s">
        <v>286</v>
      </c>
      <c r="BQ101" s="50" t="s">
        <v>287</v>
      </c>
      <c r="BR101" s="50" t="s">
        <v>403</v>
      </c>
      <c r="BS101" s="111">
        <v>4</v>
      </c>
      <c r="BT101" s="50" t="s">
        <v>286</v>
      </c>
      <c r="BU101" s="50" t="s">
        <v>312</v>
      </c>
      <c r="BV101" s="50" t="s">
        <v>288</v>
      </c>
      <c r="BW101" s="50" t="s">
        <v>303</v>
      </c>
      <c r="BX101" s="50" t="s">
        <v>290</v>
      </c>
      <c r="BY101" s="50" t="s">
        <v>288</v>
      </c>
      <c r="BZ101" s="50" t="s">
        <v>287</v>
      </c>
      <c r="CA101" s="50"/>
      <c r="CB101" s="50" t="s">
        <v>287</v>
      </c>
      <c r="CC101" s="50" t="s">
        <v>287</v>
      </c>
      <c r="CD101" s="50" t="s">
        <v>287</v>
      </c>
      <c r="CE101" s="50"/>
      <c r="CF101" s="50" t="s">
        <v>287</v>
      </c>
      <c r="CG101" s="50" t="s">
        <v>287</v>
      </c>
      <c r="CH101" s="50" t="s">
        <v>486</v>
      </c>
      <c r="CI101" s="50" t="s">
        <v>287</v>
      </c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1:97" ht="36.75" customHeight="1" thickBot="1">
      <c r="A102" s="49">
        <v>46085.320925925924</v>
      </c>
      <c r="B102" s="50" t="s">
        <v>40</v>
      </c>
      <c r="C102" s="50" t="s">
        <v>45</v>
      </c>
      <c r="D102" s="50" t="s">
        <v>369</v>
      </c>
      <c r="E102" s="50" t="s">
        <v>285</v>
      </c>
      <c r="F102" s="50" t="s">
        <v>286</v>
      </c>
      <c r="G102" s="50" t="s">
        <v>73</v>
      </c>
      <c r="H102" s="50" t="s">
        <v>418</v>
      </c>
      <c r="I102" s="50" t="s">
        <v>81</v>
      </c>
      <c r="J102" s="50" t="s">
        <v>286</v>
      </c>
      <c r="K102" s="50" t="s">
        <v>287</v>
      </c>
      <c r="L102" s="50" t="s">
        <v>336</v>
      </c>
      <c r="M102" s="50" t="s">
        <v>7</v>
      </c>
      <c r="N102" s="111">
        <v>5</v>
      </c>
      <c r="O102" s="111">
        <v>5</v>
      </c>
      <c r="P102" s="111">
        <v>5</v>
      </c>
      <c r="Q102" s="111">
        <v>5</v>
      </c>
      <c r="R102" s="111">
        <v>5</v>
      </c>
      <c r="S102" s="111">
        <v>5</v>
      </c>
      <c r="T102" s="111">
        <v>5</v>
      </c>
      <c r="U102" s="111">
        <v>5</v>
      </c>
      <c r="V102" s="111">
        <v>5</v>
      </c>
      <c r="W102" s="111">
        <v>5</v>
      </c>
      <c r="X102" s="111">
        <v>5</v>
      </c>
      <c r="Y102" s="111">
        <v>5</v>
      </c>
      <c r="Z102" s="111">
        <v>5</v>
      </c>
      <c r="AA102" s="111">
        <v>5</v>
      </c>
      <c r="AB102" s="111">
        <v>5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5</v>
      </c>
      <c r="AJ102" s="111">
        <v>5</v>
      </c>
      <c r="AK102" s="111">
        <v>5</v>
      </c>
      <c r="AL102" s="111">
        <v>5</v>
      </c>
      <c r="AM102" s="111">
        <v>5</v>
      </c>
      <c r="AN102" s="111">
        <v>5</v>
      </c>
      <c r="AO102" s="111">
        <v>5</v>
      </c>
      <c r="AP102" s="111">
        <v>5</v>
      </c>
      <c r="AQ102" s="111">
        <v>5</v>
      </c>
      <c r="AR102" s="111">
        <v>5</v>
      </c>
      <c r="AS102" s="111">
        <v>5</v>
      </c>
      <c r="AT102" s="111">
        <v>5</v>
      </c>
      <c r="AU102" s="111">
        <v>5</v>
      </c>
      <c r="AV102" s="50" t="s">
        <v>199</v>
      </c>
      <c r="AW102" s="50" t="s">
        <v>199</v>
      </c>
      <c r="AX102" s="50" t="s">
        <v>199</v>
      </c>
      <c r="AY102" s="50" t="s">
        <v>200</v>
      </c>
      <c r="AZ102" s="50" t="s">
        <v>200</v>
      </c>
      <c r="BA102" s="50" t="s">
        <v>200</v>
      </c>
      <c r="BB102" s="50" t="s">
        <v>200</v>
      </c>
      <c r="BC102" s="50" t="s">
        <v>200</v>
      </c>
      <c r="BD102" s="50" t="s">
        <v>200</v>
      </c>
      <c r="BE102" s="50" t="s">
        <v>200</v>
      </c>
      <c r="BF102" s="50" t="s">
        <v>200</v>
      </c>
      <c r="BG102" s="50" t="s">
        <v>200</v>
      </c>
      <c r="BH102" s="50" t="s">
        <v>200</v>
      </c>
      <c r="BI102" s="50" t="s">
        <v>200</v>
      </c>
      <c r="BJ102" s="50" t="s">
        <v>200</v>
      </c>
      <c r="BK102" s="50" t="s">
        <v>200</v>
      </c>
      <c r="BL102" s="50" t="s">
        <v>200</v>
      </c>
      <c r="BM102" s="50" t="s">
        <v>436</v>
      </c>
      <c r="BN102" s="50" t="s">
        <v>318</v>
      </c>
      <c r="BO102" s="50" t="s">
        <v>91</v>
      </c>
      <c r="BP102" s="50" t="s">
        <v>286</v>
      </c>
      <c r="BQ102" s="50" t="s">
        <v>287</v>
      </c>
      <c r="BR102" s="50" t="s">
        <v>403</v>
      </c>
      <c r="BS102" s="111">
        <v>4</v>
      </c>
      <c r="BT102" s="50" t="s">
        <v>286</v>
      </c>
      <c r="BU102" s="50" t="s">
        <v>312</v>
      </c>
      <c r="BV102" s="50" t="s">
        <v>288</v>
      </c>
      <c r="BW102" s="50" t="s">
        <v>289</v>
      </c>
      <c r="BX102" s="50" t="s">
        <v>300</v>
      </c>
      <c r="BY102" s="50" t="s">
        <v>288</v>
      </c>
      <c r="BZ102" s="50" t="s">
        <v>287</v>
      </c>
      <c r="CA102" s="50"/>
      <c r="CB102" s="50" t="s">
        <v>287</v>
      </c>
      <c r="CC102" s="50" t="s">
        <v>287</v>
      </c>
      <c r="CD102" s="50" t="s">
        <v>287</v>
      </c>
      <c r="CE102" s="50"/>
      <c r="CF102" s="50" t="s">
        <v>287</v>
      </c>
      <c r="CG102" s="50" t="s">
        <v>287</v>
      </c>
      <c r="CH102" s="50" t="s">
        <v>486</v>
      </c>
      <c r="CI102" s="50" t="s">
        <v>287</v>
      </c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1:97" ht="36.75" customHeight="1" thickBot="1">
      <c r="A103" s="49">
        <v>46085.325023148151</v>
      </c>
      <c r="B103" s="50" t="s">
        <v>40</v>
      </c>
      <c r="C103" s="50" t="s">
        <v>45</v>
      </c>
      <c r="D103" s="50" t="s">
        <v>374</v>
      </c>
      <c r="E103" s="50" t="s">
        <v>61</v>
      </c>
      <c r="F103" s="50" t="s">
        <v>286</v>
      </c>
      <c r="G103" s="50" t="s">
        <v>292</v>
      </c>
      <c r="H103" s="50" t="s">
        <v>367</v>
      </c>
      <c r="I103" s="50" t="s">
        <v>81</v>
      </c>
      <c r="J103" s="50" t="s">
        <v>286</v>
      </c>
      <c r="K103" s="50" t="s">
        <v>287</v>
      </c>
      <c r="L103" s="50" t="s">
        <v>336</v>
      </c>
      <c r="M103" s="50" t="s">
        <v>7</v>
      </c>
      <c r="N103" s="111">
        <v>5</v>
      </c>
      <c r="O103" s="111">
        <v>5</v>
      </c>
      <c r="P103" s="111">
        <v>5</v>
      </c>
      <c r="Q103" s="111">
        <v>5</v>
      </c>
      <c r="R103" s="111">
        <v>5</v>
      </c>
      <c r="S103" s="111">
        <v>5</v>
      </c>
      <c r="T103" s="111">
        <v>5</v>
      </c>
      <c r="U103" s="111">
        <v>5</v>
      </c>
      <c r="V103" s="111">
        <v>5</v>
      </c>
      <c r="W103" s="111">
        <v>5</v>
      </c>
      <c r="X103" s="111">
        <v>5</v>
      </c>
      <c r="Y103" s="111">
        <v>5</v>
      </c>
      <c r="Z103" s="111">
        <v>5</v>
      </c>
      <c r="AA103" s="111">
        <v>5</v>
      </c>
      <c r="AB103" s="111">
        <v>5</v>
      </c>
      <c r="AC103" s="111">
        <v>5</v>
      </c>
      <c r="AD103" s="111">
        <v>5</v>
      </c>
      <c r="AE103" s="111">
        <v>5</v>
      </c>
      <c r="AF103" s="111">
        <v>5</v>
      </c>
      <c r="AG103" s="111">
        <v>5</v>
      </c>
      <c r="AH103" s="111">
        <v>5</v>
      </c>
      <c r="AI103" s="111">
        <v>5</v>
      </c>
      <c r="AJ103" s="111">
        <v>5</v>
      </c>
      <c r="AK103" s="111">
        <v>5</v>
      </c>
      <c r="AL103" s="111">
        <v>5</v>
      </c>
      <c r="AM103" s="111">
        <v>5</v>
      </c>
      <c r="AN103" s="111">
        <v>5</v>
      </c>
      <c r="AO103" s="111">
        <v>5</v>
      </c>
      <c r="AP103" s="111">
        <v>5</v>
      </c>
      <c r="AQ103" s="111">
        <v>5</v>
      </c>
      <c r="AR103" s="111">
        <v>5</v>
      </c>
      <c r="AS103" s="111">
        <v>5</v>
      </c>
      <c r="AT103" s="111">
        <v>5</v>
      </c>
      <c r="AU103" s="111">
        <v>5</v>
      </c>
      <c r="AV103" s="50" t="s">
        <v>199</v>
      </c>
      <c r="AW103" s="50" t="s">
        <v>199</v>
      </c>
      <c r="AX103" s="50" t="s">
        <v>199</v>
      </c>
      <c r="AY103" s="50" t="s">
        <v>200</v>
      </c>
      <c r="AZ103" s="50" t="s">
        <v>200</v>
      </c>
      <c r="BA103" s="50" t="s">
        <v>200</v>
      </c>
      <c r="BB103" s="50" t="s">
        <v>200</v>
      </c>
      <c r="BC103" s="50" t="s">
        <v>200</v>
      </c>
      <c r="BD103" s="50" t="s">
        <v>200</v>
      </c>
      <c r="BE103" s="50" t="s">
        <v>200</v>
      </c>
      <c r="BF103" s="50" t="s">
        <v>200</v>
      </c>
      <c r="BG103" s="50" t="s">
        <v>200</v>
      </c>
      <c r="BH103" s="50" t="s">
        <v>200</v>
      </c>
      <c r="BI103" s="50" t="s">
        <v>200</v>
      </c>
      <c r="BJ103" s="50" t="s">
        <v>200</v>
      </c>
      <c r="BK103" s="50" t="s">
        <v>200</v>
      </c>
      <c r="BL103" s="50" t="s">
        <v>200</v>
      </c>
      <c r="BM103" s="50" t="s">
        <v>436</v>
      </c>
      <c r="BN103" s="50" t="s">
        <v>318</v>
      </c>
      <c r="BO103" s="50" t="s">
        <v>91</v>
      </c>
      <c r="BP103" s="50" t="s">
        <v>286</v>
      </c>
      <c r="BQ103" s="50" t="s">
        <v>287</v>
      </c>
      <c r="BR103" s="50" t="s">
        <v>413</v>
      </c>
      <c r="BS103" s="111">
        <v>4</v>
      </c>
      <c r="BT103" s="50" t="s">
        <v>286</v>
      </c>
      <c r="BU103" s="50" t="s">
        <v>312</v>
      </c>
      <c r="BV103" s="50" t="s">
        <v>288</v>
      </c>
      <c r="BW103" s="50" t="s">
        <v>303</v>
      </c>
      <c r="BX103" s="50" t="s">
        <v>296</v>
      </c>
      <c r="BY103" s="50" t="s">
        <v>288</v>
      </c>
      <c r="BZ103" s="50" t="s">
        <v>287</v>
      </c>
      <c r="CA103" s="50"/>
      <c r="CB103" s="50" t="s">
        <v>287</v>
      </c>
      <c r="CC103" s="50" t="s">
        <v>287</v>
      </c>
      <c r="CD103" s="50" t="s">
        <v>287</v>
      </c>
      <c r="CE103" s="50"/>
      <c r="CF103" s="50" t="s">
        <v>287</v>
      </c>
      <c r="CG103" s="50" t="s">
        <v>287</v>
      </c>
      <c r="CH103" s="50" t="s">
        <v>486</v>
      </c>
      <c r="CI103" s="50" t="s">
        <v>287</v>
      </c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1:97" ht="36.75" customHeight="1" thickBot="1">
      <c r="A104" s="49">
        <v>46085.327326388891</v>
      </c>
      <c r="B104" s="50" t="s">
        <v>33</v>
      </c>
      <c r="C104" s="50" t="s">
        <v>45</v>
      </c>
      <c r="D104" s="50" t="s">
        <v>369</v>
      </c>
      <c r="E104" s="50" t="s">
        <v>285</v>
      </c>
      <c r="F104" s="50" t="s">
        <v>286</v>
      </c>
      <c r="G104" s="50" t="s">
        <v>73</v>
      </c>
      <c r="H104" s="50" t="s">
        <v>517</v>
      </c>
      <c r="I104" s="50" t="s">
        <v>91</v>
      </c>
      <c r="J104" s="50" t="s">
        <v>286</v>
      </c>
      <c r="K104" s="50" t="s">
        <v>291</v>
      </c>
      <c r="L104" s="50" t="s">
        <v>286</v>
      </c>
      <c r="M104" s="50" t="s">
        <v>370</v>
      </c>
      <c r="N104" s="111">
        <v>5</v>
      </c>
      <c r="O104" s="111">
        <v>5</v>
      </c>
      <c r="P104" s="111">
        <v>5</v>
      </c>
      <c r="Q104" s="111">
        <v>7</v>
      </c>
      <c r="R104" s="111">
        <v>7</v>
      </c>
      <c r="S104" s="111">
        <v>7</v>
      </c>
      <c r="T104" s="111">
        <v>5</v>
      </c>
      <c r="U104" s="111">
        <v>5</v>
      </c>
      <c r="V104" s="111">
        <v>7</v>
      </c>
      <c r="W104" s="111">
        <v>7</v>
      </c>
      <c r="X104" s="111">
        <v>7</v>
      </c>
      <c r="Y104" s="111">
        <v>7</v>
      </c>
      <c r="Z104" s="111">
        <v>7</v>
      </c>
      <c r="AA104" s="111">
        <v>7</v>
      </c>
      <c r="AB104" s="111">
        <v>7</v>
      </c>
      <c r="AC104" s="111">
        <v>5</v>
      </c>
      <c r="AD104" s="111">
        <v>5</v>
      </c>
      <c r="AE104" s="111">
        <v>5</v>
      </c>
      <c r="AF104" s="111">
        <v>5</v>
      </c>
      <c r="AG104" s="111">
        <v>5</v>
      </c>
      <c r="AH104" s="111">
        <v>5</v>
      </c>
      <c r="AI104" s="111">
        <v>5</v>
      </c>
      <c r="AJ104" s="111">
        <v>5</v>
      </c>
      <c r="AK104" s="111">
        <v>5</v>
      </c>
      <c r="AL104" s="111">
        <v>5</v>
      </c>
      <c r="AM104" s="111">
        <v>5</v>
      </c>
      <c r="AN104" s="111">
        <v>5</v>
      </c>
      <c r="AO104" s="111">
        <v>5</v>
      </c>
      <c r="AP104" s="111">
        <v>5</v>
      </c>
      <c r="AQ104" s="111">
        <v>6</v>
      </c>
      <c r="AR104" s="111">
        <v>5</v>
      </c>
      <c r="AS104" s="111">
        <v>5</v>
      </c>
      <c r="AT104" s="111">
        <v>5</v>
      </c>
      <c r="AU104" s="111">
        <v>5</v>
      </c>
      <c r="AV104" s="50" t="s">
        <v>202</v>
      </c>
      <c r="AW104" s="50" t="s">
        <v>202</v>
      </c>
      <c r="AX104" s="50" t="s">
        <v>201</v>
      </c>
      <c r="AY104" s="50" t="s">
        <v>199</v>
      </c>
      <c r="AZ104" s="50" t="s">
        <v>202</v>
      </c>
      <c r="BA104" s="50" t="s">
        <v>199</v>
      </c>
      <c r="BB104" s="50" t="s">
        <v>202</v>
      </c>
      <c r="BC104" s="50" t="s">
        <v>202</v>
      </c>
      <c r="BD104" s="50" t="s">
        <v>202</v>
      </c>
      <c r="BE104" s="50" t="s">
        <v>202</v>
      </c>
      <c r="BF104" s="50" t="s">
        <v>201</v>
      </c>
      <c r="BG104" s="50" t="s">
        <v>202</v>
      </c>
      <c r="BH104" s="50" t="s">
        <v>200</v>
      </c>
      <c r="BI104" s="50" t="s">
        <v>202</v>
      </c>
      <c r="BJ104" s="50" t="s">
        <v>202</v>
      </c>
      <c r="BK104" s="50" t="s">
        <v>202</v>
      </c>
      <c r="BL104" s="50" t="s">
        <v>202</v>
      </c>
      <c r="BM104" s="50" t="s">
        <v>436</v>
      </c>
      <c r="BN104" s="50" t="s">
        <v>399</v>
      </c>
      <c r="BO104" s="50" t="s">
        <v>91</v>
      </c>
      <c r="BP104" s="50" t="s">
        <v>286</v>
      </c>
      <c r="BQ104" s="50" t="s">
        <v>287</v>
      </c>
      <c r="BR104" s="50" t="s">
        <v>372</v>
      </c>
      <c r="BS104" s="111">
        <v>5</v>
      </c>
      <c r="BT104" s="50" t="s">
        <v>286</v>
      </c>
      <c r="BU104" s="50" t="s">
        <v>348</v>
      </c>
      <c r="BV104" s="50" t="s">
        <v>288</v>
      </c>
      <c r="BW104" s="50" t="s">
        <v>350</v>
      </c>
      <c r="BX104" s="50" t="s">
        <v>387</v>
      </c>
      <c r="BY104" s="50" t="s">
        <v>288</v>
      </c>
      <c r="BZ104" s="50" t="s">
        <v>287</v>
      </c>
      <c r="CA104" s="50"/>
      <c r="CB104" s="50" t="s">
        <v>287</v>
      </c>
      <c r="CC104" s="50" t="s">
        <v>287</v>
      </c>
      <c r="CD104" s="50" t="s">
        <v>287</v>
      </c>
      <c r="CE104" s="50"/>
      <c r="CF104" s="50" t="s">
        <v>287</v>
      </c>
      <c r="CG104" s="50" t="s">
        <v>287</v>
      </c>
      <c r="CH104" s="50" t="s">
        <v>486</v>
      </c>
      <c r="CI104" s="50" t="s">
        <v>287</v>
      </c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1:97" ht="36.75" customHeight="1" thickBot="1">
      <c r="A105" s="49">
        <v>46085.327638888892</v>
      </c>
      <c r="B105" s="50" t="s">
        <v>40</v>
      </c>
      <c r="C105" s="50" t="s">
        <v>45</v>
      </c>
      <c r="D105" s="50" t="s">
        <v>374</v>
      </c>
      <c r="E105" s="50" t="s">
        <v>61</v>
      </c>
      <c r="F105" s="50" t="s">
        <v>286</v>
      </c>
      <c r="G105" s="50" t="s">
        <v>73</v>
      </c>
      <c r="H105" s="50" t="s">
        <v>298</v>
      </c>
      <c r="I105" s="50" t="s">
        <v>81</v>
      </c>
      <c r="J105" s="50" t="s">
        <v>286</v>
      </c>
      <c r="K105" s="50" t="s">
        <v>287</v>
      </c>
      <c r="L105" s="50" t="s">
        <v>336</v>
      </c>
      <c r="M105" s="50" t="s">
        <v>7</v>
      </c>
      <c r="N105" s="111">
        <v>5</v>
      </c>
      <c r="O105" s="111">
        <v>5</v>
      </c>
      <c r="P105" s="111">
        <v>5</v>
      </c>
      <c r="Q105" s="111">
        <v>5</v>
      </c>
      <c r="R105" s="111">
        <v>5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5</v>
      </c>
      <c r="AC105" s="111">
        <v>5</v>
      </c>
      <c r="AD105" s="111">
        <v>5</v>
      </c>
      <c r="AE105" s="111">
        <v>5</v>
      </c>
      <c r="AF105" s="111">
        <v>5</v>
      </c>
      <c r="AG105" s="111">
        <v>5</v>
      </c>
      <c r="AH105" s="111">
        <v>5</v>
      </c>
      <c r="AI105" s="111">
        <v>5</v>
      </c>
      <c r="AJ105" s="111">
        <v>5</v>
      </c>
      <c r="AK105" s="111">
        <v>5</v>
      </c>
      <c r="AL105" s="111">
        <v>5</v>
      </c>
      <c r="AM105" s="111">
        <v>5</v>
      </c>
      <c r="AN105" s="111">
        <v>5</v>
      </c>
      <c r="AO105" s="111">
        <v>5</v>
      </c>
      <c r="AP105" s="111">
        <v>5</v>
      </c>
      <c r="AQ105" s="111">
        <v>5</v>
      </c>
      <c r="AR105" s="111">
        <v>5</v>
      </c>
      <c r="AS105" s="111">
        <v>5</v>
      </c>
      <c r="AT105" s="111">
        <v>5</v>
      </c>
      <c r="AU105" s="111">
        <v>5</v>
      </c>
      <c r="AV105" s="50" t="s">
        <v>199</v>
      </c>
      <c r="AW105" s="50" t="s">
        <v>199</v>
      </c>
      <c r="AX105" s="50" t="s">
        <v>199</v>
      </c>
      <c r="AY105" s="50" t="s">
        <v>200</v>
      </c>
      <c r="AZ105" s="50" t="s">
        <v>200</v>
      </c>
      <c r="BA105" s="50" t="s">
        <v>200</v>
      </c>
      <c r="BB105" s="50" t="s">
        <v>200</v>
      </c>
      <c r="BC105" s="50" t="s">
        <v>200</v>
      </c>
      <c r="BD105" s="50" t="s">
        <v>200</v>
      </c>
      <c r="BE105" s="50" t="s">
        <v>200</v>
      </c>
      <c r="BF105" s="50" t="s">
        <v>200</v>
      </c>
      <c r="BG105" s="50" t="s">
        <v>200</v>
      </c>
      <c r="BH105" s="50" t="s">
        <v>200</v>
      </c>
      <c r="BI105" s="50" t="s">
        <v>200</v>
      </c>
      <c r="BJ105" s="50" t="s">
        <v>200</v>
      </c>
      <c r="BK105" s="50" t="s">
        <v>200</v>
      </c>
      <c r="BL105" s="50" t="s">
        <v>200</v>
      </c>
      <c r="BM105" s="50" t="s">
        <v>436</v>
      </c>
      <c r="BN105" s="50" t="s">
        <v>318</v>
      </c>
      <c r="BO105" s="50" t="s">
        <v>91</v>
      </c>
      <c r="BP105" s="50" t="s">
        <v>286</v>
      </c>
      <c r="BQ105" s="50" t="s">
        <v>287</v>
      </c>
      <c r="BR105" s="50" t="s">
        <v>403</v>
      </c>
      <c r="BS105" s="111">
        <v>4</v>
      </c>
      <c r="BT105" s="50" t="s">
        <v>286</v>
      </c>
      <c r="BU105" s="50" t="s">
        <v>312</v>
      </c>
      <c r="BV105" s="50" t="s">
        <v>288</v>
      </c>
      <c r="BW105" s="50" t="s">
        <v>293</v>
      </c>
      <c r="BX105" s="50" t="s">
        <v>290</v>
      </c>
      <c r="BY105" s="50" t="s">
        <v>288</v>
      </c>
      <c r="BZ105" s="50" t="s">
        <v>287</v>
      </c>
      <c r="CA105" s="50"/>
      <c r="CB105" s="50" t="s">
        <v>287</v>
      </c>
      <c r="CC105" s="50" t="s">
        <v>287</v>
      </c>
      <c r="CD105" s="50" t="s">
        <v>287</v>
      </c>
      <c r="CE105" s="50"/>
      <c r="CF105" s="50" t="s">
        <v>287</v>
      </c>
      <c r="CG105" s="50" t="s">
        <v>287</v>
      </c>
      <c r="CH105" s="50" t="s">
        <v>437</v>
      </c>
      <c r="CI105" s="50" t="s">
        <v>287</v>
      </c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1:97" ht="36.75" customHeight="1" thickBot="1">
      <c r="A106" s="49">
        <v>46085.329583333332</v>
      </c>
      <c r="B106" s="50" t="s">
        <v>40</v>
      </c>
      <c r="C106" s="50" t="s">
        <v>45</v>
      </c>
      <c r="D106" s="50" t="s">
        <v>369</v>
      </c>
      <c r="E106" s="50" t="s">
        <v>285</v>
      </c>
      <c r="F106" s="50" t="s">
        <v>286</v>
      </c>
      <c r="G106" s="50" t="s">
        <v>73</v>
      </c>
      <c r="H106" s="50" t="s">
        <v>487</v>
      </c>
      <c r="I106" s="50" t="s">
        <v>81</v>
      </c>
      <c r="J106" s="50" t="s">
        <v>286</v>
      </c>
      <c r="K106" s="50" t="s">
        <v>287</v>
      </c>
      <c r="L106" s="50" t="s">
        <v>336</v>
      </c>
      <c r="M106" s="50" t="s">
        <v>7</v>
      </c>
      <c r="N106" s="111">
        <v>5</v>
      </c>
      <c r="O106" s="111">
        <v>5</v>
      </c>
      <c r="P106" s="111">
        <v>5</v>
      </c>
      <c r="Q106" s="111">
        <v>5</v>
      </c>
      <c r="R106" s="111">
        <v>5</v>
      </c>
      <c r="S106" s="111">
        <v>5</v>
      </c>
      <c r="T106" s="111">
        <v>5</v>
      </c>
      <c r="U106" s="111">
        <v>5</v>
      </c>
      <c r="V106" s="111">
        <v>5</v>
      </c>
      <c r="W106" s="111">
        <v>5</v>
      </c>
      <c r="X106" s="111">
        <v>5</v>
      </c>
      <c r="Y106" s="111">
        <v>5</v>
      </c>
      <c r="Z106" s="111">
        <v>5</v>
      </c>
      <c r="AA106" s="111">
        <v>5</v>
      </c>
      <c r="AB106" s="111">
        <v>5</v>
      </c>
      <c r="AC106" s="111">
        <v>5</v>
      </c>
      <c r="AD106" s="111">
        <v>5</v>
      </c>
      <c r="AE106" s="111">
        <v>5</v>
      </c>
      <c r="AF106" s="111">
        <v>5</v>
      </c>
      <c r="AG106" s="111">
        <v>5</v>
      </c>
      <c r="AH106" s="111">
        <v>5</v>
      </c>
      <c r="AI106" s="111">
        <v>5</v>
      </c>
      <c r="AJ106" s="111">
        <v>5</v>
      </c>
      <c r="AK106" s="111">
        <v>5</v>
      </c>
      <c r="AL106" s="111">
        <v>5</v>
      </c>
      <c r="AM106" s="111">
        <v>5</v>
      </c>
      <c r="AN106" s="111">
        <v>5</v>
      </c>
      <c r="AO106" s="111">
        <v>5</v>
      </c>
      <c r="AP106" s="111">
        <v>5</v>
      </c>
      <c r="AQ106" s="111">
        <v>5</v>
      </c>
      <c r="AR106" s="111">
        <v>5</v>
      </c>
      <c r="AS106" s="111">
        <v>5</v>
      </c>
      <c r="AT106" s="111">
        <v>5</v>
      </c>
      <c r="AU106" s="111">
        <v>5</v>
      </c>
      <c r="AV106" s="50" t="s">
        <v>199</v>
      </c>
      <c r="AW106" s="50" t="s">
        <v>199</v>
      </c>
      <c r="AX106" s="50" t="s">
        <v>199</v>
      </c>
      <c r="AY106" s="50" t="s">
        <v>200</v>
      </c>
      <c r="AZ106" s="50" t="s">
        <v>200</v>
      </c>
      <c r="BA106" s="50" t="s">
        <v>200</v>
      </c>
      <c r="BB106" s="50" t="s">
        <v>200</v>
      </c>
      <c r="BC106" s="50" t="s">
        <v>200</v>
      </c>
      <c r="BD106" s="50" t="s">
        <v>200</v>
      </c>
      <c r="BE106" s="50" t="s">
        <v>200</v>
      </c>
      <c r="BF106" s="50" t="s">
        <v>200</v>
      </c>
      <c r="BG106" s="50" t="s">
        <v>200</v>
      </c>
      <c r="BH106" s="50" t="s">
        <v>200</v>
      </c>
      <c r="BI106" s="50" t="s">
        <v>200</v>
      </c>
      <c r="BJ106" s="50" t="s">
        <v>200</v>
      </c>
      <c r="BK106" s="50" t="s">
        <v>200</v>
      </c>
      <c r="BL106" s="50" t="s">
        <v>200</v>
      </c>
      <c r="BM106" s="50" t="s">
        <v>436</v>
      </c>
      <c r="BN106" s="50" t="s">
        <v>318</v>
      </c>
      <c r="BO106" s="50" t="s">
        <v>91</v>
      </c>
      <c r="BP106" s="50" t="s">
        <v>286</v>
      </c>
      <c r="BQ106" s="50" t="s">
        <v>287</v>
      </c>
      <c r="BR106" s="50" t="s">
        <v>403</v>
      </c>
      <c r="BS106" s="111">
        <v>4</v>
      </c>
      <c r="BT106" s="50" t="s">
        <v>286</v>
      </c>
      <c r="BU106" s="50" t="s">
        <v>312</v>
      </c>
      <c r="BV106" s="50" t="s">
        <v>288</v>
      </c>
      <c r="BW106" s="50" t="s">
        <v>297</v>
      </c>
      <c r="BX106" s="50" t="s">
        <v>290</v>
      </c>
      <c r="BY106" s="50" t="s">
        <v>288</v>
      </c>
      <c r="BZ106" s="50" t="s">
        <v>287</v>
      </c>
      <c r="CA106" s="50"/>
      <c r="CB106" s="50" t="s">
        <v>287</v>
      </c>
      <c r="CC106" s="50" t="s">
        <v>287</v>
      </c>
      <c r="CD106" s="50" t="s">
        <v>287</v>
      </c>
      <c r="CE106" s="50"/>
      <c r="CF106" s="50" t="s">
        <v>287</v>
      </c>
      <c r="CG106" s="50" t="s">
        <v>287</v>
      </c>
      <c r="CH106" s="50" t="s">
        <v>486</v>
      </c>
      <c r="CI106" s="50" t="s">
        <v>287</v>
      </c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1:97" ht="36.75" customHeight="1" thickBot="1">
      <c r="A107" s="49">
        <v>46085.339548611111</v>
      </c>
      <c r="B107" s="50" t="s">
        <v>40</v>
      </c>
      <c r="C107" s="50" t="s">
        <v>45</v>
      </c>
      <c r="D107" s="50" t="s">
        <v>369</v>
      </c>
      <c r="E107" s="50" t="s">
        <v>285</v>
      </c>
      <c r="F107" s="50" t="s">
        <v>286</v>
      </c>
      <c r="G107" s="50" t="s">
        <v>73</v>
      </c>
      <c r="H107" s="50" t="s">
        <v>402</v>
      </c>
      <c r="I107" s="50" t="s">
        <v>81</v>
      </c>
      <c r="J107" s="50" t="s">
        <v>286</v>
      </c>
      <c r="K107" s="50" t="s">
        <v>287</v>
      </c>
      <c r="L107" s="50" t="s">
        <v>379</v>
      </c>
      <c r="M107" s="50" t="s">
        <v>370</v>
      </c>
      <c r="N107" s="111">
        <v>5</v>
      </c>
      <c r="O107" s="111">
        <v>5</v>
      </c>
      <c r="P107" s="111">
        <v>5</v>
      </c>
      <c r="Q107" s="111">
        <v>5</v>
      </c>
      <c r="R107" s="111">
        <v>6</v>
      </c>
      <c r="S107" s="111">
        <v>6</v>
      </c>
      <c r="T107" s="111">
        <v>5</v>
      </c>
      <c r="U107" s="111">
        <v>5</v>
      </c>
      <c r="V107" s="111">
        <v>6</v>
      </c>
      <c r="W107" s="111">
        <v>6</v>
      </c>
      <c r="X107" s="111">
        <v>6</v>
      </c>
      <c r="Y107" s="111">
        <v>6</v>
      </c>
      <c r="Z107" s="111">
        <v>6</v>
      </c>
      <c r="AA107" s="111">
        <v>6</v>
      </c>
      <c r="AB107" s="111">
        <v>6</v>
      </c>
      <c r="AC107" s="111">
        <v>5</v>
      </c>
      <c r="AD107" s="111">
        <v>5</v>
      </c>
      <c r="AE107" s="111">
        <v>5</v>
      </c>
      <c r="AF107" s="111">
        <v>5</v>
      </c>
      <c r="AG107" s="111">
        <v>5</v>
      </c>
      <c r="AH107" s="111">
        <v>5</v>
      </c>
      <c r="AI107" s="111">
        <v>5</v>
      </c>
      <c r="AJ107" s="111">
        <v>5</v>
      </c>
      <c r="AK107" s="111">
        <v>5</v>
      </c>
      <c r="AL107" s="111">
        <v>5</v>
      </c>
      <c r="AM107" s="111">
        <v>5</v>
      </c>
      <c r="AN107" s="111">
        <v>5</v>
      </c>
      <c r="AO107" s="111">
        <v>5</v>
      </c>
      <c r="AP107" s="111">
        <v>5</v>
      </c>
      <c r="AQ107" s="111">
        <v>6</v>
      </c>
      <c r="AR107" s="111">
        <v>5</v>
      </c>
      <c r="AS107" s="111">
        <v>5</v>
      </c>
      <c r="AT107" s="111">
        <v>5</v>
      </c>
      <c r="AU107" s="111">
        <v>5</v>
      </c>
      <c r="AV107" s="50" t="s">
        <v>202</v>
      </c>
      <c r="AW107" s="50" t="s">
        <v>202</v>
      </c>
      <c r="AX107" s="50" t="s">
        <v>201</v>
      </c>
      <c r="AY107" s="50" t="s">
        <v>199</v>
      </c>
      <c r="AZ107" s="50" t="s">
        <v>202</v>
      </c>
      <c r="BA107" s="50" t="s">
        <v>199</v>
      </c>
      <c r="BB107" s="50" t="s">
        <v>202</v>
      </c>
      <c r="BC107" s="50" t="s">
        <v>202</v>
      </c>
      <c r="BD107" s="50" t="s">
        <v>202</v>
      </c>
      <c r="BE107" s="50" t="s">
        <v>200</v>
      </c>
      <c r="BF107" s="50" t="s">
        <v>201</v>
      </c>
      <c r="BG107" s="50" t="s">
        <v>202</v>
      </c>
      <c r="BH107" s="50" t="s">
        <v>201</v>
      </c>
      <c r="BI107" s="50" t="s">
        <v>202</v>
      </c>
      <c r="BJ107" s="50" t="s">
        <v>202</v>
      </c>
      <c r="BK107" s="50" t="s">
        <v>202</v>
      </c>
      <c r="BL107" s="50" t="s">
        <v>202</v>
      </c>
      <c r="BM107" s="50" t="s">
        <v>436</v>
      </c>
      <c r="BN107" s="50" t="s">
        <v>318</v>
      </c>
      <c r="BO107" s="50" t="s">
        <v>91</v>
      </c>
      <c r="BP107" s="50" t="s">
        <v>286</v>
      </c>
      <c r="BQ107" s="50" t="s">
        <v>287</v>
      </c>
      <c r="BR107" s="50" t="s">
        <v>448</v>
      </c>
      <c r="BS107" s="111">
        <v>5</v>
      </c>
      <c r="BT107" s="50" t="s">
        <v>286</v>
      </c>
      <c r="BU107" s="50" t="s">
        <v>348</v>
      </c>
      <c r="BV107" s="50" t="s">
        <v>288</v>
      </c>
      <c r="BW107" s="50" t="s">
        <v>350</v>
      </c>
      <c r="BX107" s="50" t="s">
        <v>387</v>
      </c>
      <c r="BY107" s="50" t="s">
        <v>288</v>
      </c>
      <c r="BZ107" s="50" t="s">
        <v>287</v>
      </c>
      <c r="CA107" s="50"/>
      <c r="CB107" s="50" t="s">
        <v>287</v>
      </c>
      <c r="CC107" s="50" t="s">
        <v>287</v>
      </c>
      <c r="CD107" s="50" t="s">
        <v>287</v>
      </c>
      <c r="CE107" s="50"/>
      <c r="CF107" s="50" t="s">
        <v>287</v>
      </c>
      <c r="CG107" s="50" t="s">
        <v>287</v>
      </c>
      <c r="CH107" s="50" t="s">
        <v>486</v>
      </c>
      <c r="CI107" s="50" t="s">
        <v>287</v>
      </c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1:97" ht="36.75" customHeight="1" thickBot="1">
      <c r="A108" s="49">
        <v>46085.370358796295</v>
      </c>
      <c r="B108" s="50" t="s">
        <v>40</v>
      </c>
      <c r="C108" s="50" t="s">
        <v>45</v>
      </c>
      <c r="D108" s="50" t="s">
        <v>374</v>
      </c>
      <c r="E108" s="50" t="s">
        <v>61</v>
      </c>
      <c r="F108" s="50" t="s">
        <v>286</v>
      </c>
      <c r="G108" s="50" t="s">
        <v>73</v>
      </c>
      <c r="H108" s="50" t="s">
        <v>322</v>
      </c>
      <c r="I108" s="50" t="s">
        <v>81</v>
      </c>
      <c r="J108" s="50" t="s">
        <v>286</v>
      </c>
      <c r="K108" s="50" t="s">
        <v>287</v>
      </c>
      <c r="L108" s="50" t="s">
        <v>336</v>
      </c>
      <c r="M108" s="50" t="s">
        <v>7</v>
      </c>
      <c r="N108" s="111">
        <v>5</v>
      </c>
      <c r="O108" s="111">
        <v>5</v>
      </c>
      <c r="P108" s="111">
        <v>5</v>
      </c>
      <c r="Q108" s="111">
        <v>5</v>
      </c>
      <c r="R108" s="111">
        <v>5</v>
      </c>
      <c r="S108" s="111">
        <v>5</v>
      </c>
      <c r="T108" s="111">
        <v>5</v>
      </c>
      <c r="U108" s="111">
        <v>5</v>
      </c>
      <c r="V108" s="111">
        <v>5</v>
      </c>
      <c r="W108" s="111">
        <v>5</v>
      </c>
      <c r="X108" s="111">
        <v>5</v>
      </c>
      <c r="Y108" s="111">
        <v>5</v>
      </c>
      <c r="Z108" s="111">
        <v>5</v>
      </c>
      <c r="AA108" s="111">
        <v>5</v>
      </c>
      <c r="AB108" s="111">
        <v>5</v>
      </c>
      <c r="AC108" s="111">
        <v>5</v>
      </c>
      <c r="AD108" s="111">
        <v>5</v>
      </c>
      <c r="AE108" s="111">
        <v>5</v>
      </c>
      <c r="AF108" s="111">
        <v>5</v>
      </c>
      <c r="AG108" s="111">
        <v>5</v>
      </c>
      <c r="AH108" s="111">
        <v>5</v>
      </c>
      <c r="AI108" s="111">
        <v>5</v>
      </c>
      <c r="AJ108" s="111">
        <v>5</v>
      </c>
      <c r="AK108" s="111">
        <v>5</v>
      </c>
      <c r="AL108" s="111">
        <v>5</v>
      </c>
      <c r="AM108" s="111">
        <v>5</v>
      </c>
      <c r="AN108" s="111">
        <v>5</v>
      </c>
      <c r="AO108" s="111">
        <v>5</v>
      </c>
      <c r="AP108" s="111">
        <v>5</v>
      </c>
      <c r="AQ108" s="111">
        <v>5</v>
      </c>
      <c r="AR108" s="111">
        <v>5</v>
      </c>
      <c r="AS108" s="111">
        <v>5</v>
      </c>
      <c r="AT108" s="111">
        <v>5</v>
      </c>
      <c r="AU108" s="111">
        <v>5</v>
      </c>
      <c r="AV108" s="50" t="s">
        <v>199</v>
      </c>
      <c r="AW108" s="50" t="s">
        <v>199</v>
      </c>
      <c r="AX108" s="50" t="s">
        <v>199</v>
      </c>
      <c r="AY108" s="50" t="s">
        <v>200</v>
      </c>
      <c r="AZ108" s="50" t="s">
        <v>200</v>
      </c>
      <c r="BA108" s="50" t="s">
        <v>200</v>
      </c>
      <c r="BB108" s="50" t="s">
        <v>200</v>
      </c>
      <c r="BC108" s="50" t="s">
        <v>200</v>
      </c>
      <c r="BD108" s="50" t="s">
        <v>200</v>
      </c>
      <c r="BE108" s="50" t="s">
        <v>200</v>
      </c>
      <c r="BF108" s="50" t="s">
        <v>200</v>
      </c>
      <c r="BG108" s="50" t="s">
        <v>200</v>
      </c>
      <c r="BH108" s="50" t="s">
        <v>200</v>
      </c>
      <c r="BI108" s="50" t="s">
        <v>200</v>
      </c>
      <c r="BJ108" s="50" t="s">
        <v>200</v>
      </c>
      <c r="BK108" s="50" t="s">
        <v>200</v>
      </c>
      <c r="BL108" s="50" t="s">
        <v>200</v>
      </c>
      <c r="BM108" s="50" t="s">
        <v>436</v>
      </c>
      <c r="BN108" s="50" t="s">
        <v>318</v>
      </c>
      <c r="BO108" s="50" t="s">
        <v>91</v>
      </c>
      <c r="BP108" s="50" t="s">
        <v>286</v>
      </c>
      <c r="BQ108" s="50" t="s">
        <v>287</v>
      </c>
      <c r="BR108" s="50" t="s">
        <v>416</v>
      </c>
      <c r="BS108" s="111">
        <v>4</v>
      </c>
      <c r="BT108" s="50" t="s">
        <v>318</v>
      </c>
      <c r="BU108" s="50" t="s">
        <v>312</v>
      </c>
      <c r="BV108" s="50" t="s">
        <v>288</v>
      </c>
      <c r="BW108" s="50" t="s">
        <v>289</v>
      </c>
      <c r="BX108" s="50" t="s">
        <v>300</v>
      </c>
      <c r="BY108" s="50" t="s">
        <v>288</v>
      </c>
      <c r="BZ108" s="50" t="s">
        <v>287</v>
      </c>
      <c r="CA108" s="50"/>
      <c r="CB108" s="50" t="s">
        <v>287</v>
      </c>
      <c r="CC108" s="50" t="s">
        <v>287</v>
      </c>
      <c r="CD108" s="50" t="s">
        <v>287</v>
      </c>
      <c r="CE108" s="50"/>
      <c r="CF108" s="50" t="s">
        <v>287</v>
      </c>
      <c r="CG108" s="50" t="s">
        <v>287</v>
      </c>
      <c r="CH108" s="50" t="s">
        <v>486</v>
      </c>
      <c r="CI108" s="50" t="s">
        <v>287</v>
      </c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1:97" ht="36.75" customHeight="1" thickBot="1">
      <c r="A109" s="49">
        <v>46085.374722222223</v>
      </c>
      <c r="B109" s="50" t="s">
        <v>36</v>
      </c>
      <c r="C109" s="50" t="s">
        <v>46</v>
      </c>
      <c r="D109" s="50" t="s">
        <v>374</v>
      </c>
      <c r="E109" s="50" t="s">
        <v>62</v>
      </c>
      <c r="F109" s="50" t="s">
        <v>286</v>
      </c>
      <c r="G109" s="50" t="s">
        <v>73</v>
      </c>
      <c r="H109" s="50" t="s">
        <v>425</v>
      </c>
      <c r="I109" s="50" t="s">
        <v>92</v>
      </c>
      <c r="J109" s="50" t="s">
        <v>286</v>
      </c>
      <c r="K109" s="50" t="s">
        <v>287</v>
      </c>
      <c r="L109" s="50" t="s">
        <v>336</v>
      </c>
      <c r="M109" s="50" t="s">
        <v>7</v>
      </c>
      <c r="N109" s="111">
        <v>5</v>
      </c>
      <c r="O109" s="111">
        <v>5</v>
      </c>
      <c r="P109" s="111">
        <v>5</v>
      </c>
      <c r="Q109" s="111">
        <v>5</v>
      </c>
      <c r="R109" s="111">
        <v>5</v>
      </c>
      <c r="S109" s="111">
        <v>5</v>
      </c>
      <c r="T109" s="111">
        <v>5</v>
      </c>
      <c r="U109" s="111">
        <v>5</v>
      </c>
      <c r="V109" s="111">
        <v>5</v>
      </c>
      <c r="W109" s="111">
        <v>5</v>
      </c>
      <c r="X109" s="111">
        <v>5</v>
      </c>
      <c r="Y109" s="111">
        <v>5</v>
      </c>
      <c r="Z109" s="111">
        <v>5</v>
      </c>
      <c r="AA109" s="111">
        <v>5</v>
      </c>
      <c r="AB109" s="111">
        <v>5</v>
      </c>
      <c r="AC109" s="111">
        <v>5</v>
      </c>
      <c r="AD109" s="111">
        <v>5</v>
      </c>
      <c r="AE109" s="111">
        <v>5</v>
      </c>
      <c r="AF109" s="111">
        <v>5</v>
      </c>
      <c r="AG109" s="111">
        <v>5</v>
      </c>
      <c r="AH109" s="111">
        <v>5</v>
      </c>
      <c r="AI109" s="111">
        <v>5</v>
      </c>
      <c r="AJ109" s="111">
        <v>5</v>
      </c>
      <c r="AK109" s="111">
        <v>5</v>
      </c>
      <c r="AL109" s="111">
        <v>5</v>
      </c>
      <c r="AM109" s="111">
        <v>5</v>
      </c>
      <c r="AN109" s="111">
        <v>5</v>
      </c>
      <c r="AO109" s="111">
        <v>5</v>
      </c>
      <c r="AP109" s="111">
        <v>5</v>
      </c>
      <c r="AQ109" s="111">
        <v>5</v>
      </c>
      <c r="AR109" s="111">
        <v>5</v>
      </c>
      <c r="AS109" s="111">
        <v>5</v>
      </c>
      <c r="AT109" s="111">
        <v>5</v>
      </c>
      <c r="AU109" s="111">
        <v>5</v>
      </c>
      <c r="AV109" s="50" t="s">
        <v>199</v>
      </c>
      <c r="AW109" s="50" t="s">
        <v>199</v>
      </c>
      <c r="AX109" s="50" t="s">
        <v>199</v>
      </c>
      <c r="AY109" s="50" t="s">
        <v>200</v>
      </c>
      <c r="AZ109" s="50" t="s">
        <v>200</v>
      </c>
      <c r="BA109" s="50" t="s">
        <v>200</v>
      </c>
      <c r="BB109" s="50" t="s">
        <v>200</v>
      </c>
      <c r="BC109" s="50" t="s">
        <v>200</v>
      </c>
      <c r="BD109" s="50" t="s">
        <v>200</v>
      </c>
      <c r="BE109" s="50" t="s">
        <v>200</v>
      </c>
      <c r="BF109" s="50" t="s">
        <v>200</v>
      </c>
      <c r="BG109" s="50" t="s">
        <v>200</v>
      </c>
      <c r="BH109" s="50" t="s">
        <v>200</v>
      </c>
      <c r="BI109" s="50" t="s">
        <v>200</v>
      </c>
      <c r="BJ109" s="50" t="s">
        <v>200</v>
      </c>
      <c r="BK109" s="50" t="s">
        <v>200</v>
      </c>
      <c r="BL109" s="50" t="s">
        <v>200</v>
      </c>
      <c r="BM109" s="50" t="s">
        <v>436</v>
      </c>
      <c r="BN109" s="50" t="s">
        <v>318</v>
      </c>
      <c r="BO109" s="50" t="s">
        <v>91</v>
      </c>
      <c r="BP109" s="50" t="s">
        <v>286</v>
      </c>
      <c r="BQ109" s="50" t="s">
        <v>287</v>
      </c>
      <c r="BR109" s="50" t="s">
        <v>414</v>
      </c>
      <c r="BS109" s="111">
        <v>4</v>
      </c>
      <c r="BT109" s="50" t="s">
        <v>286</v>
      </c>
      <c r="BU109" s="50" t="s">
        <v>312</v>
      </c>
      <c r="BV109" s="50" t="s">
        <v>288</v>
      </c>
      <c r="BW109" s="50" t="s">
        <v>303</v>
      </c>
      <c r="BX109" s="50" t="s">
        <v>296</v>
      </c>
      <c r="BY109" s="50" t="s">
        <v>288</v>
      </c>
      <c r="BZ109" s="50" t="s">
        <v>287</v>
      </c>
      <c r="CA109" s="50"/>
      <c r="CB109" s="50" t="s">
        <v>287</v>
      </c>
      <c r="CC109" s="50" t="s">
        <v>287</v>
      </c>
      <c r="CD109" s="50" t="s">
        <v>287</v>
      </c>
      <c r="CE109" s="50"/>
      <c r="CF109" s="50" t="s">
        <v>287</v>
      </c>
      <c r="CG109" s="50" t="s">
        <v>287</v>
      </c>
      <c r="CH109" s="50" t="s">
        <v>486</v>
      </c>
      <c r="CI109" s="50" t="s">
        <v>287</v>
      </c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1:97" ht="36.75" customHeight="1" thickBot="1">
      <c r="A110" s="49">
        <v>46085.37804398148</v>
      </c>
      <c r="B110" s="50" t="s">
        <v>40</v>
      </c>
      <c r="C110" s="50" t="s">
        <v>45</v>
      </c>
      <c r="D110" s="50" t="s">
        <v>374</v>
      </c>
      <c r="E110" s="50" t="s">
        <v>61</v>
      </c>
      <c r="F110" s="50" t="s">
        <v>286</v>
      </c>
      <c r="G110" s="50" t="s">
        <v>73</v>
      </c>
      <c r="H110" s="50" t="s">
        <v>298</v>
      </c>
      <c r="I110" s="50" t="s">
        <v>81</v>
      </c>
      <c r="J110" s="50" t="s">
        <v>286</v>
      </c>
      <c r="K110" s="50" t="s">
        <v>287</v>
      </c>
      <c r="L110" s="50" t="s">
        <v>336</v>
      </c>
      <c r="M110" s="50" t="s">
        <v>7</v>
      </c>
      <c r="N110" s="111">
        <v>5</v>
      </c>
      <c r="O110" s="111">
        <v>5</v>
      </c>
      <c r="P110" s="111">
        <v>5</v>
      </c>
      <c r="Q110" s="111">
        <v>5</v>
      </c>
      <c r="R110" s="111">
        <v>5</v>
      </c>
      <c r="S110" s="111">
        <v>5</v>
      </c>
      <c r="T110" s="111">
        <v>5</v>
      </c>
      <c r="U110" s="111">
        <v>5</v>
      </c>
      <c r="V110" s="111">
        <v>5</v>
      </c>
      <c r="W110" s="111">
        <v>5</v>
      </c>
      <c r="X110" s="111">
        <v>5</v>
      </c>
      <c r="Y110" s="111">
        <v>5</v>
      </c>
      <c r="Z110" s="111">
        <v>5</v>
      </c>
      <c r="AA110" s="111">
        <v>5</v>
      </c>
      <c r="AB110" s="111">
        <v>5</v>
      </c>
      <c r="AC110" s="111">
        <v>5</v>
      </c>
      <c r="AD110" s="111">
        <v>5</v>
      </c>
      <c r="AE110" s="111">
        <v>5</v>
      </c>
      <c r="AF110" s="111">
        <v>5</v>
      </c>
      <c r="AG110" s="111">
        <v>5</v>
      </c>
      <c r="AH110" s="111">
        <v>5</v>
      </c>
      <c r="AI110" s="111">
        <v>5</v>
      </c>
      <c r="AJ110" s="111">
        <v>5</v>
      </c>
      <c r="AK110" s="111">
        <v>5</v>
      </c>
      <c r="AL110" s="111">
        <v>5</v>
      </c>
      <c r="AM110" s="111">
        <v>5</v>
      </c>
      <c r="AN110" s="111">
        <v>5</v>
      </c>
      <c r="AO110" s="111">
        <v>5</v>
      </c>
      <c r="AP110" s="111">
        <v>5</v>
      </c>
      <c r="AQ110" s="111">
        <v>5</v>
      </c>
      <c r="AR110" s="111">
        <v>5</v>
      </c>
      <c r="AS110" s="111">
        <v>5</v>
      </c>
      <c r="AT110" s="111">
        <v>5</v>
      </c>
      <c r="AU110" s="111">
        <v>5</v>
      </c>
      <c r="AV110" s="50" t="s">
        <v>199</v>
      </c>
      <c r="AW110" s="50" t="s">
        <v>199</v>
      </c>
      <c r="AX110" s="50" t="s">
        <v>199</v>
      </c>
      <c r="AY110" s="50" t="s">
        <v>200</v>
      </c>
      <c r="AZ110" s="50" t="s">
        <v>200</v>
      </c>
      <c r="BA110" s="50" t="s">
        <v>200</v>
      </c>
      <c r="BB110" s="50" t="s">
        <v>200</v>
      </c>
      <c r="BC110" s="50" t="s">
        <v>200</v>
      </c>
      <c r="BD110" s="50" t="s">
        <v>200</v>
      </c>
      <c r="BE110" s="50" t="s">
        <v>200</v>
      </c>
      <c r="BF110" s="50" t="s">
        <v>200</v>
      </c>
      <c r="BG110" s="50" t="s">
        <v>200</v>
      </c>
      <c r="BH110" s="50" t="s">
        <v>200</v>
      </c>
      <c r="BI110" s="50" t="s">
        <v>200</v>
      </c>
      <c r="BJ110" s="50" t="s">
        <v>200</v>
      </c>
      <c r="BK110" s="50" t="s">
        <v>200</v>
      </c>
      <c r="BL110" s="50" t="s">
        <v>200</v>
      </c>
      <c r="BM110" s="50" t="s">
        <v>436</v>
      </c>
      <c r="BN110" s="50" t="s">
        <v>318</v>
      </c>
      <c r="BO110" s="50" t="s">
        <v>91</v>
      </c>
      <c r="BP110" s="50" t="s">
        <v>286</v>
      </c>
      <c r="BQ110" s="50" t="s">
        <v>287</v>
      </c>
      <c r="BR110" s="50" t="s">
        <v>382</v>
      </c>
      <c r="BS110" s="111">
        <v>4</v>
      </c>
      <c r="BT110" s="50" t="s">
        <v>286</v>
      </c>
      <c r="BU110" s="50" t="s">
        <v>312</v>
      </c>
      <c r="BV110" s="50" t="s">
        <v>288</v>
      </c>
      <c r="BW110" s="50" t="s">
        <v>293</v>
      </c>
      <c r="BX110" s="50" t="s">
        <v>300</v>
      </c>
      <c r="BY110" s="50" t="s">
        <v>288</v>
      </c>
      <c r="BZ110" s="50" t="s">
        <v>287</v>
      </c>
      <c r="CA110" s="50"/>
      <c r="CB110" s="50" t="s">
        <v>287</v>
      </c>
      <c r="CC110" s="50" t="s">
        <v>287</v>
      </c>
      <c r="CD110" s="50" t="s">
        <v>287</v>
      </c>
      <c r="CE110" s="50"/>
      <c r="CF110" s="50" t="s">
        <v>287</v>
      </c>
      <c r="CG110" s="50" t="s">
        <v>287</v>
      </c>
      <c r="CH110" s="50" t="s">
        <v>486</v>
      </c>
      <c r="CI110" s="50" t="s">
        <v>287</v>
      </c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1:97" ht="36.75" customHeight="1" thickBot="1">
      <c r="A111" s="49">
        <v>46085.382291666669</v>
      </c>
      <c r="B111" s="50" t="s">
        <v>40</v>
      </c>
      <c r="C111" s="50" t="s">
        <v>45</v>
      </c>
      <c r="D111" s="50" t="s">
        <v>374</v>
      </c>
      <c r="E111" s="50" t="s">
        <v>59</v>
      </c>
      <c r="F111" s="50" t="s">
        <v>286</v>
      </c>
      <c r="G111" s="50" t="s">
        <v>73</v>
      </c>
      <c r="H111" s="50" t="s">
        <v>332</v>
      </c>
      <c r="I111" s="50" t="s">
        <v>81</v>
      </c>
      <c r="J111" s="50" t="s">
        <v>286</v>
      </c>
      <c r="K111" s="50" t="s">
        <v>287</v>
      </c>
      <c r="L111" s="50" t="s">
        <v>336</v>
      </c>
      <c r="M111" s="50" t="s">
        <v>7</v>
      </c>
      <c r="N111" s="111">
        <v>5</v>
      </c>
      <c r="O111" s="111">
        <v>5</v>
      </c>
      <c r="P111" s="111">
        <v>5</v>
      </c>
      <c r="Q111" s="111">
        <v>5</v>
      </c>
      <c r="R111" s="111">
        <v>5</v>
      </c>
      <c r="S111" s="111">
        <v>5</v>
      </c>
      <c r="T111" s="111">
        <v>5</v>
      </c>
      <c r="U111" s="111">
        <v>5</v>
      </c>
      <c r="V111" s="111">
        <v>5</v>
      </c>
      <c r="W111" s="111">
        <v>5</v>
      </c>
      <c r="X111" s="111">
        <v>5</v>
      </c>
      <c r="Y111" s="111">
        <v>5</v>
      </c>
      <c r="Z111" s="111">
        <v>5</v>
      </c>
      <c r="AA111" s="111">
        <v>5</v>
      </c>
      <c r="AB111" s="111">
        <v>5</v>
      </c>
      <c r="AC111" s="111">
        <v>5</v>
      </c>
      <c r="AD111" s="111">
        <v>5</v>
      </c>
      <c r="AE111" s="111">
        <v>5</v>
      </c>
      <c r="AF111" s="111">
        <v>5</v>
      </c>
      <c r="AG111" s="111">
        <v>5</v>
      </c>
      <c r="AH111" s="111">
        <v>5</v>
      </c>
      <c r="AI111" s="111">
        <v>5</v>
      </c>
      <c r="AJ111" s="111">
        <v>5</v>
      </c>
      <c r="AK111" s="111">
        <v>5</v>
      </c>
      <c r="AL111" s="111">
        <v>5</v>
      </c>
      <c r="AM111" s="111">
        <v>5</v>
      </c>
      <c r="AN111" s="111">
        <v>5</v>
      </c>
      <c r="AO111" s="111">
        <v>5</v>
      </c>
      <c r="AP111" s="111">
        <v>5</v>
      </c>
      <c r="AQ111" s="111">
        <v>5</v>
      </c>
      <c r="AR111" s="111">
        <v>5</v>
      </c>
      <c r="AS111" s="111">
        <v>5</v>
      </c>
      <c r="AT111" s="111">
        <v>5</v>
      </c>
      <c r="AU111" s="111">
        <v>5</v>
      </c>
      <c r="AV111" s="50" t="s">
        <v>199</v>
      </c>
      <c r="AW111" s="50" t="s">
        <v>199</v>
      </c>
      <c r="AX111" s="50" t="s">
        <v>199</v>
      </c>
      <c r="AY111" s="50" t="s">
        <v>200</v>
      </c>
      <c r="AZ111" s="50" t="s">
        <v>200</v>
      </c>
      <c r="BA111" s="50" t="s">
        <v>200</v>
      </c>
      <c r="BB111" s="50" t="s">
        <v>200</v>
      </c>
      <c r="BC111" s="50" t="s">
        <v>200</v>
      </c>
      <c r="BD111" s="50" t="s">
        <v>200</v>
      </c>
      <c r="BE111" s="50" t="s">
        <v>200</v>
      </c>
      <c r="BF111" s="50" t="s">
        <v>200</v>
      </c>
      <c r="BG111" s="50" t="s">
        <v>200</v>
      </c>
      <c r="BH111" s="50" t="s">
        <v>200</v>
      </c>
      <c r="BI111" s="50" t="s">
        <v>200</v>
      </c>
      <c r="BJ111" s="50" t="s">
        <v>200</v>
      </c>
      <c r="BK111" s="50" t="s">
        <v>200</v>
      </c>
      <c r="BL111" s="50" t="s">
        <v>200</v>
      </c>
      <c r="BM111" s="50" t="s">
        <v>436</v>
      </c>
      <c r="BN111" s="50" t="s">
        <v>318</v>
      </c>
      <c r="BO111" s="50" t="s">
        <v>428</v>
      </c>
      <c r="BP111" s="50" t="s">
        <v>286</v>
      </c>
      <c r="BQ111" s="50" t="s">
        <v>287</v>
      </c>
      <c r="BR111" s="50" t="s">
        <v>403</v>
      </c>
      <c r="BS111" s="111">
        <v>4</v>
      </c>
      <c r="BT111" s="50" t="s">
        <v>286</v>
      </c>
      <c r="BU111" s="50" t="s">
        <v>312</v>
      </c>
      <c r="BV111" s="50" t="s">
        <v>288</v>
      </c>
      <c r="BW111" s="50" t="s">
        <v>289</v>
      </c>
      <c r="BX111" s="50" t="s">
        <v>300</v>
      </c>
      <c r="BY111" s="50" t="s">
        <v>288</v>
      </c>
      <c r="BZ111" s="50" t="s">
        <v>287</v>
      </c>
      <c r="CA111" s="50"/>
      <c r="CB111" s="50" t="s">
        <v>287</v>
      </c>
      <c r="CC111" s="50" t="s">
        <v>287</v>
      </c>
      <c r="CD111" s="50" t="s">
        <v>287</v>
      </c>
      <c r="CE111" s="50"/>
      <c r="CF111" s="50" t="s">
        <v>287</v>
      </c>
      <c r="CG111" s="50" t="s">
        <v>287</v>
      </c>
      <c r="CH111" s="50" t="s">
        <v>486</v>
      </c>
      <c r="CI111" s="50" t="s">
        <v>287</v>
      </c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1:97" ht="36.75" customHeight="1" thickBot="1">
      <c r="A112" s="49">
        <v>46085.38449074074</v>
      </c>
      <c r="B112" s="50" t="s">
        <v>40</v>
      </c>
      <c r="C112" s="50" t="s">
        <v>45</v>
      </c>
      <c r="D112" s="50" t="s">
        <v>374</v>
      </c>
      <c r="E112" s="50" t="s">
        <v>61</v>
      </c>
      <c r="F112" s="50" t="s">
        <v>286</v>
      </c>
      <c r="G112" s="50" t="s">
        <v>73</v>
      </c>
      <c r="H112" s="50" t="s">
        <v>346</v>
      </c>
      <c r="I112" s="50" t="s">
        <v>81</v>
      </c>
      <c r="J112" s="50" t="s">
        <v>286</v>
      </c>
      <c r="K112" s="50" t="s">
        <v>91</v>
      </c>
      <c r="L112" s="50" t="s">
        <v>336</v>
      </c>
      <c r="M112" s="50" t="s">
        <v>7</v>
      </c>
      <c r="N112" s="111">
        <v>5</v>
      </c>
      <c r="O112" s="111">
        <v>5</v>
      </c>
      <c r="P112" s="111">
        <v>5</v>
      </c>
      <c r="Q112" s="111">
        <v>5</v>
      </c>
      <c r="R112" s="111">
        <v>5</v>
      </c>
      <c r="S112" s="111">
        <v>5</v>
      </c>
      <c r="T112" s="111">
        <v>5</v>
      </c>
      <c r="U112" s="111">
        <v>5</v>
      </c>
      <c r="V112" s="111">
        <v>5</v>
      </c>
      <c r="W112" s="111">
        <v>5</v>
      </c>
      <c r="X112" s="111">
        <v>5</v>
      </c>
      <c r="Y112" s="111">
        <v>5</v>
      </c>
      <c r="Z112" s="111">
        <v>5</v>
      </c>
      <c r="AA112" s="111">
        <v>5</v>
      </c>
      <c r="AB112" s="111">
        <v>5</v>
      </c>
      <c r="AC112" s="111">
        <v>5</v>
      </c>
      <c r="AD112" s="111">
        <v>5</v>
      </c>
      <c r="AE112" s="111">
        <v>5</v>
      </c>
      <c r="AF112" s="111">
        <v>5</v>
      </c>
      <c r="AG112" s="111">
        <v>5</v>
      </c>
      <c r="AH112" s="111">
        <v>5</v>
      </c>
      <c r="AI112" s="111">
        <v>5</v>
      </c>
      <c r="AJ112" s="111">
        <v>5</v>
      </c>
      <c r="AK112" s="111">
        <v>5</v>
      </c>
      <c r="AL112" s="111">
        <v>5</v>
      </c>
      <c r="AM112" s="111">
        <v>5</v>
      </c>
      <c r="AN112" s="111">
        <v>5</v>
      </c>
      <c r="AO112" s="111">
        <v>5</v>
      </c>
      <c r="AP112" s="111">
        <v>5</v>
      </c>
      <c r="AQ112" s="111">
        <v>5</v>
      </c>
      <c r="AR112" s="111">
        <v>5</v>
      </c>
      <c r="AS112" s="111">
        <v>5</v>
      </c>
      <c r="AT112" s="111">
        <v>5</v>
      </c>
      <c r="AU112" s="111">
        <v>5</v>
      </c>
      <c r="AV112" s="50" t="s">
        <v>199</v>
      </c>
      <c r="AW112" s="50" t="s">
        <v>199</v>
      </c>
      <c r="AX112" s="50" t="s">
        <v>199</v>
      </c>
      <c r="AY112" s="50" t="s">
        <v>200</v>
      </c>
      <c r="AZ112" s="50" t="s">
        <v>200</v>
      </c>
      <c r="BA112" s="50" t="s">
        <v>200</v>
      </c>
      <c r="BB112" s="50" t="s">
        <v>200</v>
      </c>
      <c r="BC112" s="50" t="s">
        <v>200</v>
      </c>
      <c r="BD112" s="50" t="s">
        <v>200</v>
      </c>
      <c r="BE112" s="50" t="s">
        <v>200</v>
      </c>
      <c r="BF112" s="50" t="s">
        <v>200</v>
      </c>
      <c r="BG112" s="50" t="s">
        <v>200</v>
      </c>
      <c r="BH112" s="50" t="s">
        <v>200</v>
      </c>
      <c r="BI112" s="50" t="s">
        <v>200</v>
      </c>
      <c r="BJ112" s="50" t="s">
        <v>200</v>
      </c>
      <c r="BK112" s="50" t="s">
        <v>200</v>
      </c>
      <c r="BL112" s="50" t="s">
        <v>200</v>
      </c>
      <c r="BM112" s="50" t="s">
        <v>436</v>
      </c>
      <c r="BN112" s="50" t="s">
        <v>318</v>
      </c>
      <c r="BO112" s="50" t="s">
        <v>91</v>
      </c>
      <c r="BP112" s="50" t="s">
        <v>286</v>
      </c>
      <c r="BQ112" s="50" t="s">
        <v>287</v>
      </c>
      <c r="BR112" s="50" t="s">
        <v>404</v>
      </c>
      <c r="BS112" s="111">
        <v>4</v>
      </c>
      <c r="BT112" s="50" t="s">
        <v>286</v>
      </c>
      <c r="BU112" s="50" t="s">
        <v>312</v>
      </c>
      <c r="BV112" s="50" t="s">
        <v>288</v>
      </c>
      <c r="BW112" s="50" t="s">
        <v>289</v>
      </c>
      <c r="BX112" s="50" t="s">
        <v>300</v>
      </c>
      <c r="BY112" s="50" t="s">
        <v>288</v>
      </c>
      <c r="BZ112" s="50" t="s">
        <v>287</v>
      </c>
      <c r="CA112" s="50"/>
      <c r="CB112" s="50" t="s">
        <v>287</v>
      </c>
      <c r="CC112" s="50" t="s">
        <v>287</v>
      </c>
      <c r="CD112" s="50" t="s">
        <v>287</v>
      </c>
      <c r="CE112" s="50"/>
      <c r="CF112" s="50" t="s">
        <v>287</v>
      </c>
      <c r="CG112" s="50" t="s">
        <v>287</v>
      </c>
      <c r="CH112" s="50" t="s">
        <v>486</v>
      </c>
      <c r="CI112" s="50" t="s">
        <v>287</v>
      </c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1:97" ht="36.75" customHeight="1" thickBot="1">
      <c r="A113" s="49">
        <v>46085.388020833336</v>
      </c>
      <c r="B113" s="50" t="s">
        <v>40</v>
      </c>
      <c r="C113" s="50" t="s">
        <v>45</v>
      </c>
      <c r="D113" s="50" t="s">
        <v>374</v>
      </c>
      <c r="E113" s="50" t="s">
        <v>61</v>
      </c>
      <c r="F113" s="50"/>
      <c r="G113" s="50" t="s">
        <v>73</v>
      </c>
      <c r="H113" s="50" t="s">
        <v>422</v>
      </c>
      <c r="I113" s="50" t="s">
        <v>81</v>
      </c>
      <c r="J113" s="50" t="s">
        <v>286</v>
      </c>
      <c r="K113" s="50" t="s">
        <v>291</v>
      </c>
      <c r="L113" s="50" t="s">
        <v>336</v>
      </c>
      <c r="M113" s="50" t="s">
        <v>7</v>
      </c>
      <c r="N113" s="111">
        <v>5</v>
      </c>
      <c r="O113" s="111">
        <v>5</v>
      </c>
      <c r="P113" s="111">
        <v>5</v>
      </c>
      <c r="Q113" s="111">
        <v>5</v>
      </c>
      <c r="R113" s="111">
        <v>5</v>
      </c>
      <c r="S113" s="111">
        <v>5</v>
      </c>
      <c r="T113" s="111">
        <v>5</v>
      </c>
      <c r="U113" s="111">
        <v>5</v>
      </c>
      <c r="V113" s="111">
        <v>5</v>
      </c>
      <c r="W113" s="111">
        <v>5</v>
      </c>
      <c r="X113" s="111">
        <v>5</v>
      </c>
      <c r="Y113" s="111">
        <v>5</v>
      </c>
      <c r="Z113" s="111">
        <v>5</v>
      </c>
      <c r="AA113" s="111">
        <v>5</v>
      </c>
      <c r="AB113" s="111">
        <v>5</v>
      </c>
      <c r="AC113" s="111">
        <v>5</v>
      </c>
      <c r="AD113" s="111">
        <v>5</v>
      </c>
      <c r="AE113" s="111">
        <v>5</v>
      </c>
      <c r="AF113" s="111">
        <v>5</v>
      </c>
      <c r="AG113" s="111">
        <v>5</v>
      </c>
      <c r="AH113" s="111">
        <v>5</v>
      </c>
      <c r="AI113" s="111">
        <v>5</v>
      </c>
      <c r="AJ113" s="111">
        <v>5</v>
      </c>
      <c r="AK113" s="111">
        <v>5</v>
      </c>
      <c r="AL113" s="111">
        <v>5</v>
      </c>
      <c r="AM113" s="111">
        <v>5</v>
      </c>
      <c r="AN113" s="111">
        <v>5</v>
      </c>
      <c r="AO113" s="111">
        <v>5</v>
      </c>
      <c r="AP113" s="111">
        <v>5</v>
      </c>
      <c r="AQ113" s="111">
        <v>5</v>
      </c>
      <c r="AR113" s="111">
        <v>5</v>
      </c>
      <c r="AS113" s="111">
        <v>5</v>
      </c>
      <c r="AT113" s="111">
        <v>5</v>
      </c>
      <c r="AU113" s="111">
        <v>5</v>
      </c>
      <c r="AV113" s="50" t="s">
        <v>199</v>
      </c>
      <c r="AW113" s="50" t="s">
        <v>199</v>
      </c>
      <c r="AX113" s="50" t="s">
        <v>199</v>
      </c>
      <c r="AY113" s="50" t="s">
        <v>200</v>
      </c>
      <c r="AZ113" s="50" t="s">
        <v>200</v>
      </c>
      <c r="BA113" s="50" t="s">
        <v>200</v>
      </c>
      <c r="BB113" s="50" t="s">
        <v>200</v>
      </c>
      <c r="BC113" s="50" t="s">
        <v>200</v>
      </c>
      <c r="BD113" s="50" t="s">
        <v>200</v>
      </c>
      <c r="BE113" s="50" t="s">
        <v>200</v>
      </c>
      <c r="BF113" s="50" t="s">
        <v>200</v>
      </c>
      <c r="BG113" s="50" t="s">
        <v>200</v>
      </c>
      <c r="BH113" s="50" t="s">
        <v>200</v>
      </c>
      <c r="BI113" s="50" t="s">
        <v>200</v>
      </c>
      <c r="BJ113" s="50" t="s">
        <v>200</v>
      </c>
      <c r="BK113" s="50" t="s">
        <v>200</v>
      </c>
      <c r="BL113" s="50" t="s">
        <v>200</v>
      </c>
      <c r="BM113" s="50" t="s">
        <v>436</v>
      </c>
      <c r="BN113" s="50" t="s">
        <v>318</v>
      </c>
      <c r="BO113" s="50" t="s">
        <v>91</v>
      </c>
      <c r="BP113" s="50" t="s">
        <v>286</v>
      </c>
      <c r="BQ113" s="50" t="s">
        <v>287</v>
      </c>
      <c r="BR113" s="50" t="s">
        <v>414</v>
      </c>
      <c r="BS113" s="111">
        <v>4</v>
      </c>
      <c r="BT113" s="50" t="s">
        <v>286</v>
      </c>
      <c r="BU113" s="50" t="s">
        <v>312</v>
      </c>
      <c r="BV113" s="50" t="s">
        <v>288</v>
      </c>
      <c r="BW113" s="50" t="s">
        <v>293</v>
      </c>
      <c r="BX113" s="50" t="s">
        <v>290</v>
      </c>
      <c r="BY113" s="50" t="s">
        <v>288</v>
      </c>
      <c r="BZ113" s="50" t="s">
        <v>287</v>
      </c>
      <c r="CA113" s="50"/>
      <c r="CB113" s="50" t="s">
        <v>287</v>
      </c>
      <c r="CC113" s="50" t="s">
        <v>287</v>
      </c>
      <c r="CD113" s="50" t="s">
        <v>287</v>
      </c>
      <c r="CE113" s="50"/>
      <c r="CF113" s="50" t="s">
        <v>287</v>
      </c>
      <c r="CG113" s="50" t="s">
        <v>287</v>
      </c>
      <c r="CH113" s="50" t="s">
        <v>486</v>
      </c>
      <c r="CI113" s="50" t="s">
        <v>287</v>
      </c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1:97" ht="36.75" customHeight="1" thickBot="1">
      <c r="A114" s="49">
        <v>46085.57613425926</v>
      </c>
      <c r="B114" s="50" t="s">
        <v>40</v>
      </c>
      <c r="C114" s="50" t="s">
        <v>45</v>
      </c>
      <c r="D114" s="50" t="s">
        <v>374</v>
      </c>
      <c r="E114" s="50" t="s">
        <v>62</v>
      </c>
      <c r="F114" s="50" t="s">
        <v>286</v>
      </c>
      <c r="G114" s="50" t="s">
        <v>73</v>
      </c>
      <c r="H114" s="50" t="s">
        <v>343</v>
      </c>
      <c r="I114" s="50" t="s">
        <v>81</v>
      </c>
      <c r="J114" s="50" t="s">
        <v>286</v>
      </c>
      <c r="K114" s="50" t="s">
        <v>287</v>
      </c>
      <c r="L114" s="50" t="s">
        <v>379</v>
      </c>
      <c r="M114" s="50" t="s">
        <v>370</v>
      </c>
      <c r="N114" s="111">
        <v>5</v>
      </c>
      <c r="O114" s="111">
        <v>5</v>
      </c>
      <c r="P114" s="111">
        <v>5</v>
      </c>
      <c r="Q114" s="111">
        <v>6</v>
      </c>
      <c r="R114" s="111">
        <v>6</v>
      </c>
      <c r="S114" s="111">
        <v>6</v>
      </c>
      <c r="T114" s="111">
        <v>4</v>
      </c>
      <c r="U114" s="111">
        <v>5</v>
      </c>
      <c r="V114" s="111">
        <v>6</v>
      </c>
      <c r="W114" s="111">
        <v>6</v>
      </c>
      <c r="X114" s="111">
        <v>6</v>
      </c>
      <c r="Y114" s="111">
        <v>6</v>
      </c>
      <c r="Z114" s="111">
        <v>6</v>
      </c>
      <c r="AA114" s="111">
        <v>6</v>
      </c>
      <c r="AB114" s="111">
        <v>6</v>
      </c>
      <c r="AC114" s="111">
        <v>5</v>
      </c>
      <c r="AD114" s="111">
        <v>5</v>
      </c>
      <c r="AE114" s="111">
        <v>5</v>
      </c>
      <c r="AF114" s="111">
        <v>5</v>
      </c>
      <c r="AG114" s="111">
        <v>5</v>
      </c>
      <c r="AH114" s="111">
        <v>5</v>
      </c>
      <c r="AI114" s="111">
        <v>5</v>
      </c>
      <c r="AJ114" s="111">
        <v>5</v>
      </c>
      <c r="AK114" s="111">
        <v>5</v>
      </c>
      <c r="AL114" s="111">
        <v>5</v>
      </c>
      <c r="AM114" s="111">
        <v>5</v>
      </c>
      <c r="AN114" s="111">
        <v>5</v>
      </c>
      <c r="AO114" s="111">
        <v>5</v>
      </c>
      <c r="AP114" s="111">
        <v>5</v>
      </c>
      <c r="AQ114" s="111">
        <v>6</v>
      </c>
      <c r="AR114" s="111">
        <v>5</v>
      </c>
      <c r="AS114" s="111">
        <v>5</v>
      </c>
      <c r="AT114" s="111">
        <v>5</v>
      </c>
      <c r="AU114" s="111">
        <v>5</v>
      </c>
      <c r="AV114" s="50" t="s">
        <v>202</v>
      </c>
      <c r="AW114" s="50" t="s">
        <v>202</v>
      </c>
      <c r="AX114" s="50" t="s">
        <v>201</v>
      </c>
      <c r="AY114" s="50" t="s">
        <v>199</v>
      </c>
      <c r="AZ114" s="50" t="s">
        <v>202</v>
      </c>
      <c r="BA114" s="50" t="s">
        <v>199</v>
      </c>
      <c r="BB114" s="50" t="s">
        <v>202</v>
      </c>
      <c r="BC114" s="50" t="s">
        <v>202</v>
      </c>
      <c r="BD114" s="50" t="s">
        <v>202</v>
      </c>
      <c r="BE114" s="50" t="s">
        <v>202</v>
      </c>
      <c r="BF114" s="50" t="s">
        <v>201</v>
      </c>
      <c r="BG114" s="50" t="s">
        <v>202</v>
      </c>
      <c r="BH114" s="50" t="s">
        <v>199</v>
      </c>
      <c r="BI114" s="50" t="s">
        <v>202</v>
      </c>
      <c r="BJ114" s="50" t="s">
        <v>202</v>
      </c>
      <c r="BK114" s="50" t="s">
        <v>202</v>
      </c>
      <c r="BL114" s="50" t="s">
        <v>202</v>
      </c>
      <c r="BM114" s="50" t="s">
        <v>436</v>
      </c>
      <c r="BN114" s="50" t="s">
        <v>479</v>
      </c>
      <c r="BO114" s="50" t="s">
        <v>91</v>
      </c>
      <c r="BP114" s="50" t="s">
        <v>286</v>
      </c>
      <c r="BQ114" s="50" t="s">
        <v>287</v>
      </c>
      <c r="BR114" s="50" t="s">
        <v>372</v>
      </c>
      <c r="BS114" s="111">
        <v>5</v>
      </c>
      <c r="BT114" s="50" t="s">
        <v>286</v>
      </c>
      <c r="BU114" s="50" t="s">
        <v>348</v>
      </c>
      <c r="BV114" s="50" t="s">
        <v>288</v>
      </c>
      <c r="BW114" s="50" t="s">
        <v>350</v>
      </c>
      <c r="BX114" s="50" t="s">
        <v>387</v>
      </c>
      <c r="BY114" s="50" t="s">
        <v>288</v>
      </c>
      <c r="BZ114" s="50" t="s">
        <v>287</v>
      </c>
      <c r="CA114" s="50"/>
      <c r="CB114" s="50" t="s">
        <v>287</v>
      </c>
      <c r="CC114" s="50" t="s">
        <v>287</v>
      </c>
      <c r="CD114" s="50" t="s">
        <v>287</v>
      </c>
      <c r="CE114" s="50"/>
      <c r="CF114" s="50" t="s">
        <v>287</v>
      </c>
      <c r="CG114" s="50" t="s">
        <v>287</v>
      </c>
      <c r="CH114" s="50" t="s">
        <v>486</v>
      </c>
      <c r="CI114" s="50" t="s">
        <v>287</v>
      </c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1:97" ht="36.75" customHeight="1" thickBot="1">
      <c r="A115" s="49">
        <v>46085.578946759262</v>
      </c>
      <c r="B115" s="50" t="s">
        <v>40</v>
      </c>
      <c r="C115" s="50" t="s">
        <v>45</v>
      </c>
      <c r="D115" s="50" t="s">
        <v>374</v>
      </c>
      <c r="E115" s="50" t="s">
        <v>61</v>
      </c>
      <c r="F115" s="50" t="s">
        <v>286</v>
      </c>
      <c r="G115" s="50" t="s">
        <v>74</v>
      </c>
      <c r="H115" s="50" t="s">
        <v>518</v>
      </c>
      <c r="I115" s="50" t="s">
        <v>91</v>
      </c>
      <c r="J115" s="50" t="s">
        <v>286</v>
      </c>
      <c r="K115" s="50" t="s">
        <v>291</v>
      </c>
      <c r="L115" s="50" t="s">
        <v>286</v>
      </c>
      <c r="M115" s="50" t="s">
        <v>370</v>
      </c>
      <c r="N115" s="111">
        <v>5</v>
      </c>
      <c r="O115" s="111">
        <v>5</v>
      </c>
      <c r="P115" s="111">
        <v>5</v>
      </c>
      <c r="Q115" s="111">
        <v>6</v>
      </c>
      <c r="R115" s="111">
        <v>6</v>
      </c>
      <c r="S115" s="111">
        <v>6</v>
      </c>
      <c r="T115" s="111">
        <v>4</v>
      </c>
      <c r="U115" s="111">
        <v>5</v>
      </c>
      <c r="V115" s="111">
        <v>6</v>
      </c>
      <c r="W115" s="111">
        <v>6</v>
      </c>
      <c r="X115" s="111">
        <v>6</v>
      </c>
      <c r="Y115" s="111">
        <v>6</v>
      </c>
      <c r="Z115" s="111">
        <v>6</v>
      </c>
      <c r="AA115" s="111">
        <v>6</v>
      </c>
      <c r="AB115" s="111">
        <v>6</v>
      </c>
      <c r="AC115" s="111">
        <v>5</v>
      </c>
      <c r="AD115" s="111">
        <v>5</v>
      </c>
      <c r="AE115" s="111">
        <v>5</v>
      </c>
      <c r="AF115" s="111">
        <v>5</v>
      </c>
      <c r="AG115" s="111">
        <v>5</v>
      </c>
      <c r="AH115" s="111">
        <v>5</v>
      </c>
      <c r="AI115" s="111">
        <v>5</v>
      </c>
      <c r="AJ115" s="111">
        <v>5</v>
      </c>
      <c r="AK115" s="111">
        <v>5</v>
      </c>
      <c r="AL115" s="111">
        <v>7</v>
      </c>
      <c r="AM115" s="111">
        <v>5</v>
      </c>
      <c r="AN115" s="111">
        <v>5</v>
      </c>
      <c r="AO115" s="111">
        <v>5</v>
      </c>
      <c r="AP115" s="111">
        <v>5</v>
      </c>
      <c r="AQ115" s="111">
        <v>6</v>
      </c>
      <c r="AR115" s="111">
        <v>5</v>
      </c>
      <c r="AS115" s="111">
        <v>5</v>
      </c>
      <c r="AT115" s="111">
        <v>5</v>
      </c>
      <c r="AU115" s="111">
        <v>5</v>
      </c>
      <c r="AV115" s="50" t="s">
        <v>202</v>
      </c>
      <c r="AW115" s="50" t="s">
        <v>202</v>
      </c>
      <c r="AX115" s="50" t="s">
        <v>201</v>
      </c>
      <c r="AY115" s="50" t="s">
        <v>199</v>
      </c>
      <c r="AZ115" s="50" t="s">
        <v>202</v>
      </c>
      <c r="BA115" s="50" t="s">
        <v>199</v>
      </c>
      <c r="BB115" s="50" t="s">
        <v>202</v>
      </c>
      <c r="BC115" s="50" t="s">
        <v>202</v>
      </c>
      <c r="BD115" s="50" t="s">
        <v>202</v>
      </c>
      <c r="BE115" s="50" t="s">
        <v>200</v>
      </c>
      <c r="BF115" s="50" t="s">
        <v>199</v>
      </c>
      <c r="BG115" s="50" t="s">
        <v>202</v>
      </c>
      <c r="BH115" s="50" t="s">
        <v>200</v>
      </c>
      <c r="BI115" s="50" t="s">
        <v>202</v>
      </c>
      <c r="BJ115" s="50" t="s">
        <v>202</v>
      </c>
      <c r="BK115" s="50" t="s">
        <v>202</v>
      </c>
      <c r="BL115" s="50" t="s">
        <v>202</v>
      </c>
      <c r="BM115" s="50" t="s">
        <v>436</v>
      </c>
      <c r="BN115" s="50" t="s">
        <v>479</v>
      </c>
      <c r="BO115" s="50" t="s">
        <v>91</v>
      </c>
      <c r="BP115" s="50"/>
      <c r="BQ115" s="50" t="s">
        <v>287</v>
      </c>
      <c r="BR115" s="50" t="s">
        <v>448</v>
      </c>
      <c r="BS115" s="111">
        <v>5</v>
      </c>
      <c r="BT115" s="50" t="s">
        <v>286</v>
      </c>
      <c r="BU115" s="50" t="s">
        <v>348</v>
      </c>
      <c r="BV115" s="50" t="s">
        <v>288</v>
      </c>
      <c r="BW115" s="50" t="s">
        <v>350</v>
      </c>
      <c r="BX115" s="50" t="s">
        <v>387</v>
      </c>
      <c r="BY115" s="50" t="s">
        <v>288</v>
      </c>
      <c r="BZ115" s="50" t="s">
        <v>287</v>
      </c>
      <c r="CA115" s="50"/>
      <c r="CB115" s="50" t="s">
        <v>287</v>
      </c>
      <c r="CC115" s="50" t="s">
        <v>287</v>
      </c>
      <c r="CD115" s="50" t="s">
        <v>287</v>
      </c>
      <c r="CE115" s="50"/>
      <c r="CF115" s="50" t="s">
        <v>287</v>
      </c>
      <c r="CG115" s="50" t="s">
        <v>287</v>
      </c>
      <c r="CH115" s="50" t="s">
        <v>486</v>
      </c>
      <c r="CI115" s="50" t="s">
        <v>287</v>
      </c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1:97" ht="36.75" customHeight="1" thickBot="1">
      <c r="A116" s="49">
        <v>46085.585115740738</v>
      </c>
      <c r="B116" s="50" t="s">
        <v>40</v>
      </c>
      <c r="C116" s="50" t="s">
        <v>46</v>
      </c>
      <c r="D116" s="50" t="s">
        <v>385</v>
      </c>
      <c r="E116" s="50" t="s">
        <v>60</v>
      </c>
      <c r="F116" s="50" t="s">
        <v>440</v>
      </c>
      <c r="G116" s="50" t="s">
        <v>73</v>
      </c>
      <c r="H116" s="50" t="s">
        <v>401</v>
      </c>
      <c r="I116" s="50" t="s">
        <v>91</v>
      </c>
      <c r="J116" s="50" t="s">
        <v>286</v>
      </c>
      <c r="K116" s="50" t="s">
        <v>291</v>
      </c>
      <c r="L116" s="50" t="s">
        <v>286</v>
      </c>
      <c r="M116" s="50" t="s">
        <v>370</v>
      </c>
      <c r="N116" s="111">
        <v>5</v>
      </c>
      <c r="O116" s="111">
        <v>5</v>
      </c>
      <c r="P116" s="111">
        <v>5</v>
      </c>
      <c r="Q116" s="111">
        <v>5</v>
      </c>
      <c r="R116" s="111">
        <v>5</v>
      </c>
      <c r="S116" s="111">
        <v>6</v>
      </c>
      <c r="T116" s="111">
        <v>4</v>
      </c>
      <c r="U116" s="111">
        <v>5</v>
      </c>
      <c r="V116" s="111">
        <v>6</v>
      </c>
      <c r="W116" s="111">
        <v>6</v>
      </c>
      <c r="X116" s="111">
        <v>6</v>
      </c>
      <c r="Y116" s="111">
        <v>6</v>
      </c>
      <c r="Z116" s="111">
        <v>6</v>
      </c>
      <c r="AA116" s="111">
        <v>6</v>
      </c>
      <c r="AB116" s="111">
        <v>6</v>
      </c>
      <c r="AC116" s="111">
        <v>5</v>
      </c>
      <c r="AD116" s="111">
        <v>5</v>
      </c>
      <c r="AE116" s="111">
        <v>5</v>
      </c>
      <c r="AF116" s="111">
        <v>5</v>
      </c>
      <c r="AG116" s="111">
        <v>5</v>
      </c>
      <c r="AH116" s="111">
        <v>5</v>
      </c>
      <c r="AI116" s="111">
        <v>5</v>
      </c>
      <c r="AJ116" s="111">
        <v>5</v>
      </c>
      <c r="AK116" s="111">
        <v>5</v>
      </c>
      <c r="AL116" s="111">
        <v>5</v>
      </c>
      <c r="AM116" s="111">
        <v>5</v>
      </c>
      <c r="AN116" s="111">
        <v>5</v>
      </c>
      <c r="AO116" s="111">
        <v>5</v>
      </c>
      <c r="AP116" s="111">
        <v>5</v>
      </c>
      <c r="AQ116" s="111">
        <v>6</v>
      </c>
      <c r="AR116" s="111">
        <v>5</v>
      </c>
      <c r="AS116" s="111">
        <v>5</v>
      </c>
      <c r="AT116" s="111">
        <v>5</v>
      </c>
      <c r="AU116" s="111">
        <v>5</v>
      </c>
      <c r="AV116" s="50" t="s">
        <v>202</v>
      </c>
      <c r="AW116" s="50" t="s">
        <v>202</v>
      </c>
      <c r="AX116" s="50" t="s">
        <v>201</v>
      </c>
      <c r="AY116" s="50" t="s">
        <v>199</v>
      </c>
      <c r="AZ116" s="50" t="s">
        <v>202</v>
      </c>
      <c r="BA116" s="50" t="s">
        <v>199</v>
      </c>
      <c r="BB116" s="50" t="s">
        <v>202</v>
      </c>
      <c r="BC116" s="50" t="s">
        <v>202</v>
      </c>
      <c r="BD116" s="50" t="s">
        <v>202</v>
      </c>
      <c r="BE116" s="50" t="s">
        <v>202</v>
      </c>
      <c r="BF116" s="50" t="s">
        <v>201</v>
      </c>
      <c r="BG116" s="50" t="s">
        <v>202</v>
      </c>
      <c r="BH116" s="50" t="s">
        <v>200</v>
      </c>
      <c r="BI116" s="50" t="s">
        <v>202</v>
      </c>
      <c r="BJ116" s="50" t="s">
        <v>202</v>
      </c>
      <c r="BK116" s="50" t="s">
        <v>202</v>
      </c>
      <c r="BL116" s="50" t="s">
        <v>202</v>
      </c>
      <c r="BM116" s="50" t="s">
        <v>436</v>
      </c>
      <c r="BN116" s="50" t="s">
        <v>358</v>
      </c>
      <c r="BO116" s="50" t="s">
        <v>91</v>
      </c>
      <c r="BP116" s="50" t="s">
        <v>286</v>
      </c>
      <c r="BQ116" s="50" t="s">
        <v>287</v>
      </c>
      <c r="BR116" s="50" t="s">
        <v>372</v>
      </c>
      <c r="BS116" s="111">
        <v>5</v>
      </c>
      <c r="BT116" s="50" t="s">
        <v>286</v>
      </c>
      <c r="BU116" s="50" t="s">
        <v>348</v>
      </c>
      <c r="BV116" s="50"/>
      <c r="BW116" s="50" t="s">
        <v>350</v>
      </c>
      <c r="BX116" s="50" t="s">
        <v>387</v>
      </c>
      <c r="BY116" s="50" t="s">
        <v>288</v>
      </c>
      <c r="BZ116" s="50" t="s">
        <v>287</v>
      </c>
      <c r="CA116" s="50"/>
      <c r="CB116" s="50" t="s">
        <v>287</v>
      </c>
      <c r="CC116" s="50" t="s">
        <v>287</v>
      </c>
      <c r="CD116" s="50" t="s">
        <v>287</v>
      </c>
      <c r="CE116" s="50"/>
      <c r="CF116" s="50" t="s">
        <v>287</v>
      </c>
      <c r="CG116" s="50" t="s">
        <v>287</v>
      </c>
      <c r="CH116" s="50" t="s">
        <v>486</v>
      </c>
      <c r="CI116" s="50" t="s">
        <v>287</v>
      </c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1:97" ht="36.75" customHeight="1" thickBot="1">
      <c r="A117" s="49">
        <v>46085.589270833334</v>
      </c>
      <c r="B117" s="50" t="s">
        <v>40</v>
      </c>
      <c r="C117" s="50" t="s">
        <v>45</v>
      </c>
      <c r="D117" s="50" t="s">
        <v>374</v>
      </c>
      <c r="E117" s="50" t="s">
        <v>61</v>
      </c>
      <c r="F117" s="50" t="s">
        <v>286</v>
      </c>
      <c r="G117" s="50" t="s">
        <v>73</v>
      </c>
      <c r="H117" s="50" t="s">
        <v>329</v>
      </c>
      <c r="I117" s="50" t="s">
        <v>81</v>
      </c>
      <c r="J117" s="50" t="s">
        <v>286</v>
      </c>
      <c r="K117" s="50" t="s">
        <v>287</v>
      </c>
      <c r="L117" s="50" t="s">
        <v>336</v>
      </c>
      <c r="M117" s="50" t="s">
        <v>7</v>
      </c>
      <c r="N117" s="111">
        <v>5</v>
      </c>
      <c r="O117" s="111">
        <v>5</v>
      </c>
      <c r="P117" s="111">
        <v>5</v>
      </c>
      <c r="Q117" s="111">
        <v>5</v>
      </c>
      <c r="R117" s="111">
        <v>5</v>
      </c>
      <c r="S117" s="111">
        <v>5</v>
      </c>
      <c r="T117" s="111">
        <v>5</v>
      </c>
      <c r="U117" s="111">
        <v>5</v>
      </c>
      <c r="V117" s="111">
        <v>5</v>
      </c>
      <c r="W117" s="111">
        <v>5</v>
      </c>
      <c r="X117" s="111">
        <v>5</v>
      </c>
      <c r="Y117" s="111">
        <v>5</v>
      </c>
      <c r="Z117" s="111">
        <v>5</v>
      </c>
      <c r="AA117" s="111">
        <v>5</v>
      </c>
      <c r="AB117" s="111">
        <v>5</v>
      </c>
      <c r="AC117" s="111">
        <v>5</v>
      </c>
      <c r="AD117" s="111">
        <v>5</v>
      </c>
      <c r="AE117" s="111">
        <v>5</v>
      </c>
      <c r="AF117" s="111">
        <v>5</v>
      </c>
      <c r="AG117" s="111">
        <v>5</v>
      </c>
      <c r="AH117" s="111">
        <v>5</v>
      </c>
      <c r="AI117" s="111">
        <v>5</v>
      </c>
      <c r="AJ117" s="111">
        <v>5</v>
      </c>
      <c r="AK117" s="111">
        <v>5</v>
      </c>
      <c r="AL117" s="111">
        <v>5</v>
      </c>
      <c r="AM117" s="111">
        <v>5</v>
      </c>
      <c r="AN117" s="111">
        <v>5</v>
      </c>
      <c r="AO117" s="111">
        <v>5</v>
      </c>
      <c r="AP117" s="111">
        <v>5</v>
      </c>
      <c r="AQ117" s="111">
        <v>5</v>
      </c>
      <c r="AR117" s="111">
        <v>5</v>
      </c>
      <c r="AS117" s="111">
        <v>5</v>
      </c>
      <c r="AT117" s="111">
        <v>5</v>
      </c>
      <c r="AU117" s="111">
        <v>5</v>
      </c>
      <c r="AV117" s="50" t="s">
        <v>199</v>
      </c>
      <c r="AW117" s="50" t="s">
        <v>199</v>
      </c>
      <c r="AX117" s="50" t="s">
        <v>199</v>
      </c>
      <c r="AY117" s="50" t="s">
        <v>200</v>
      </c>
      <c r="AZ117" s="50" t="s">
        <v>200</v>
      </c>
      <c r="BA117" s="50" t="s">
        <v>200</v>
      </c>
      <c r="BB117" s="50" t="s">
        <v>200</v>
      </c>
      <c r="BC117" s="50" t="s">
        <v>200</v>
      </c>
      <c r="BD117" s="50" t="s">
        <v>200</v>
      </c>
      <c r="BE117" s="50" t="s">
        <v>200</v>
      </c>
      <c r="BF117" s="50" t="s">
        <v>200</v>
      </c>
      <c r="BG117" s="50" t="s">
        <v>200</v>
      </c>
      <c r="BH117" s="50" t="s">
        <v>200</v>
      </c>
      <c r="BI117" s="50" t="s">
        <v>200</v>
      </c>
      <c r="BJ117" s="50" t="s">
        <v>200</v>
      </c>
      <c r="BK117" s="50" t="s">
        <v>200</v>
      </c>
      <c r="BL117" s="50" t="s">
        <v>200</v>
      </c>
      <c r="BM117" s="50" t="s">
        <v>436</v>
      </c>
      <c r="BN117" s="50" t="s">
        <v>318</v>
      </c>
      <c r="BO117" s="50" t="s">
        <v>91</v>
      </c>
      <c r="BP117" s="50" t="s">
        <v>286</v>
      </c>
      <c r="BQ117" s="50" t="s">
        <v>287</v>
      </c>
      <c r="BR117" s="50" t="s">
        <v>373</v>
      </c>
      <c r="BS117" s="111">
        <v>4</v>
      </c>
      <c r="BT117" s="50" t="s">
        <v>469</v>
      </c>
      <c r="BU117" s="50" t="s">
        <v>312</v>
      </c>
      <c r="BV117" s="50" t="s">
        <v>288</v>
      </c>
      <c r="BW117" s="50" t="s">
        <v>293</v>
      </c>
      <c r="BX117" s="50" t="s">
        <v>300</v>
      </c>
      <c r="BY117" s="50" t="s">
        <v>288</v>
      </c>
      <c r="BZ117" s="50" t="s">
        <v>287</v>
      </c>
      <c r="CA117" s="50"/>
      <c r="CB117" s="50" t="s">
        <v>287</v>
      </c>
      <c r="CC117" s="50" t="s">
        <v>287</v>
      </c>
      <c r="CD117" s="50" t="s">
        <v>287</v>
      </c>
      <c r="CE117" s="50"/>
      <c r="CF117" s="50" t="s">
        <v>287</v>
      </c>
      <c r="CG117" s="50" t="s">
        <v>287</v>
      </c>
      <c r="CH117" s="50" t="s">
        <v>486</v>
      </c>
      <c r="CI117" s="50" t="s">
        <v>287</v>
      </c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1:97" ht="36.75" customHeight="1" thickBot="1">
      <c r="A118" s="49">
        <v>46085.589826388888</v>
      </c>
      <c r="B118" s="50" t="s">
        <v>40</v>
      </c>
      <c r="C118" s="50" t="s">
        <v>45</v>
      </c>
      <c r="D118" s="50" t="s">
        <v>374</v>
      </c>
      <c r="E118" s="50" t="s">
        <v>61</v>
      </c>
      <c r="F118" s="50" t="s">
        <v>286</v>
      </c>
      <c r="G118" s="50" t="s">
        <v>73</v>
      </c>
      <c r="H118" s="50" t="s">
        <v>307</v>
      </c>
      <c r="I118" s="50" t="s">
        <v>91</v>
      </c>
      <c r="J118" s="50" t="s">
        <v>286</v>
      </c>
      <c r="K118" s="50" t="s">
        <v>291</v>
      </c>
      <c r="L118" s="50" t="s">
        <v>286</v>
      </c>
      <c r="M118" s="50" t="s">
        <v>370</v>
      </c>
      <c r="N118" s="111">
        <v>5</v>
      </c>
      <c r="O118" s="111">
        <v>4</v>
      </c>
      <c r="P118" s="111">
        <v>5</v>
      </c>
      <c r="Q118" s="111">
        <v>5</v>
      </c>
      <c r="R118" s="111">
        <v>6</v>
      </c>
      <c r="S118" s="111">
        <v>6</v>
      </c>
      <c r="T118" s="111">
        <v>3</v>
      </c>
      <c r="U118" s="111">
        <v>5</v>
      </c>
      <c r="V118" s="111">
        <v>6</v>
      </c>
      <c r="W118" s="111">
        <v>6</v>
      </c>
      <c r="X118" s="111">
        <v>6</v>
      </c>
      <c r="Y118" s="111">
        <v>6</v>
      </c>
      <c r="Z118" s="111">
        <v>6</v>
      </c>
      <c r="AA118" s="111">
        <v>6</v>
      </c>
      <c r="AB118" s="111">
        <v>6</v>
      </c>
      <c r="AC118" s="111">
        <v>5</v>
      </c>
      <c r="AD118" s="111">
        <v>5</v>
      </c>
      <c r="AE118" s="111">
        <v>5</v>
      </c>
      <c r="AF118" s="111">
        <v>5</v>
      </c>
      <c r="AG118" s="111">
        <v>5</v>
      </c>
      <c r="AH118" s="111">
        <v>5</v>
      </c>
      <c r="AI118" s="111">
        <v>5</v>
      </c>
      <c r="AJ118" s="111">
        <v>5</v>
      </c>
      <c r="AK118" s="111">
        <v>5</v>
      </c>
      <c r="AL118" s="111">
        <v>6</v>
      </c>
      <c r="AM118" s="111">
        <v>5</v>
      </c>
      <c r="AN118" s="111">
        <v>5</v>
      </c>
      <c r="AO118" s="111">
        <v>5</v>
      </c>
      <c r="AP118" s="111">
        <v>5</v>
      </c>
      <c r="AQ118" s="111">
        <v>6</v>
      </c>
      <c r="AR118" s="111">
        <v>5</v>
      </c>
      <c r="AS118" s="111">
        <v>5</v>
      </c>
      <c r="AT118" s="111">
        <v>5</v>
      </c>
      <c r="AU118" s="111">
        <v>5</v>
      </c>
      <c r="AV118" s="50" t="s">
        <v>199</v>
      </c>
      <c r="AW118" s="50" t="s">
        <v>200</v>
      </c>
      <c r="AX118" s="50" t="s">
        <v>199</v>
      </c>
      <c r="AY118" s="50" t="s">
        <v>199</v>
      </c>
      <c r="AZ118" s="50" t="s">
        <v>202</v>
      </c>
      <c r="BA118" s="50" t="s">
        <v>199</v>
      </c>
      <c r="BB118" s="50" t="s">
        <v>202</v>
      </c>
      <c r="BC118" s="50" t="s">
        <v>202</v>
      </c>
      <c r="BD118" s="50" t="s">
        <v>202</v>
      </c>
      <c r="BE118" s="50" t="s">
        <v>202</v>
      </c>
      <c r="BF118" s="50" t="s">
        <v>201</v>
      </c>
      <c r="BG118" s="50" t="s">
        <v>202</v>
      </c>
      <c r="BH118" s="50" t="s">
        <v>201</v>
      </c>
      <c r="BI118" s="50" t="s">
        <v>202</v>
      </c>
      <c r="BJ118" s="50" t="s">
        <v>202</v>
      </c>
      <c r="BK118" s="50" t="s">
        <v>202</v>
      </c>
      <c r="BL118" s="50" t="s">
        <v>202</v>
      </c>
      <c r="BM118" s="50" t="s">
        <v>436</v>
      </c>
      <c r="BN118" s="50" t="s">
        <v>443</v>
      </c>
      <c r="BO118" s="50" t="s">
        <v>91</v>
      </c>
      <c r="BP118" s="50" t="s">
        <v>286</v>
      </c>
      <c r="BQ118" s="50" t="s">
        <v>287</v>
      </c>
      <c r="BR118" s="50" t="s">
        <v>394</v>
      </c>
      <c r="BS118" s="111">
        <v>5</v>
      </c>
      <c r="BT118" s="50" t="s">
        <v>286</v>
      </c>
      <c r="BU118" s="50" t="s">
        <v>348</v>
      </c>
      <c r="BV118" s="50" t="s">
        <v>288</v>
      </c>
      <c r="BW118" s="50" t="s">
        <v>350</v>
      </c>
      <c r="BX118" s="50" t="s">
        <v>387</v>
      </c>
      <c r="BY118" s="50" t="s">
        <v>288</v>
      </c>
      <c r="BZ118" s="50" t="s">
        <v>287</v>
      </c>
      <c r="CA118" s="50"/>
      <c r="CB118" s="50" t="s">
        <v>287</v>
      </c>
      <c r="CC118" s="50" t="s">
        <v>287</v>
      </c>
      <c r="CD118" s="50" t="s">
        <v>287</v>
      </c>
      <c r="CE118" s="50"/>
      <c r="CF118" s="50" t="s">
        <v>287</v>
      </c>
      <c r="CG118" s="50" t="s">
        <v>287</v>
      </c>
      <c r="CH118" s="50" t="s">
        <v>486</v>
      </c>
      <c r="CI118" s="50" t="s">
        <v>287</v>
      </c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1:97" ht="36.75" customHeight="1" thickBot="1">
      <c r="A119" s="49">
        <v>46085.592013888891</v>
      </c>
      <c r="B119" s="50" t="s">
        <v>40</v>
      </c>
      <c r="C119" s="50" t="s">
        <v>45</v>
      </c>
      <c r="D119" s="50" t="s">
        <v>369</v>
      </c>
      <c r="E119" s="50" t="s">
        <v>285</v>
      </c>
      <c r="F119" s="50" t="s">
        <v>286</v>
      </c>
      <c r="G119" s="50" t="s">
        <v>73</v>
      </c>
      <c r="H119" s="50" t="s">
        <v>519</v>
      </c>
      <c r="I119" s="50" t="s">
        <v>81</v>
      </c>
      <c r="J119" s="50" t="s">
        <v>286</v>
      </c>
      <c r="K119" s="50" t="s">
        <v>287</v>
      </c>
      <c r="L119" s="50" t="s">
        <v>336</v>
      </c>
      <c r="M119" s="50" t="s">
        <v>7</v>
      </c>
      <c r="N119" s="111">
        <v>5</v>
      </c>
      <c r="O119" s="111">
        <v>5</v>
      </c>
      <c r="P119" s="111">
        <v>5</v>
      </c>
      <c r="Q119" s="111">
        <v>5</v>
      </c>
      <c r="R119" s="111">
        <v>5</v>
      </c>
      <c r="S119" s="111">
        <v>5</v>
      </c>
      <c r="T119" s="111">
        <v>5</v>
      </c>
      <c r="U119" s="111">
        <v>5</v>
      </c>
      <c r="V119" s="111">
        <v>5</v>
      </c>
      <c r="W119" s="111">
        <v>5</v>
      </c>
      <c r="X119" s="111">
        <v>5</v>
      </c>
      <c r="Y119" s="111">
        <v>5</v>
      </c>
      <c r="Z119" s="111">
        <v>5</v>
      </c>
      <c r="AA119" s="111">
        <v>5</v>
      </c>
      <c r="AB119" s="111">
        <v>5</v>
      </c>
      <c r="AC119" s="111">
        <v>5</v>
      </c>
      <c r="AD119" s="111">
        <v>5</v>
      </c>
      <c r="AE119" s="111">
        <v>5</v>
      </c>
      <c r="AF119" s="111">
        <v>5</v>
      </c>
      <c r="AG119" s="111">
        <v>5</v>
      </c>
      <c r="AH119" s="111">
        <v>5</v>
      </c>
      <c r="AI119" s="111">
        <v>5</v>
      </c>
      <c r="AJ119" s="111">
        <v>5</v>
      </c>
      <c r="AK119" s="111">
        <v>5</v>
      </c>
      <c r="AL119" s="111">
        <v>5</v>
      </c>
      <c r="AM119" s="111">
        <v>5</v>
      </c>
      <c r="AN119" s="111">
        <v>5</v>
      </c>
      <c r="AO119" s="111">
        <v>5</v>
      </c>
      <c r="AP119" s="111">
        <v>5</v>
      </c>
      <c r="AQ119" s="111">
        <v>5</v>
      </c>
      <c r="AR119" s="111">
        <v>5</v>
      </c>
      <c r="AS119" s="111">
        <v>5</v>
      </c>
      <c r="AT119" s="111">
        <v>5</v>
      </c>
      <c r="AU119" s="111">
        <v>5</v>
      </c>
      <c r="AV119" s="50" t="s">
        <v>199</v>
      </c>
      <c r="AW119" s="50" t="s">
        <v>199</v>
      </c>
      <c r="AX119" s="50" t="s">
        <v>199</v>
      </c>
      <c r="AY119" s="50" t="s">
        <v>200</v>
      </c>
      <c r="AZ119" s="50" t="s">
        <v>200</v>
      </c>
      <c r="BA119" s="50" t="s">
        <v>200</v>
      </c>
      <c r="BB119" s="50" t="s">
        <v>200</v>
      </c>
      <c r="BC119" s="50" t="s">
        <v>200</v>
      </c>
      <c r="BD119" s="50" t="s">
        <v>200</v>
      </c>
      <c r="BE119" s="50" t="s">
        <v>200</v>
      </c>
      <c r="BF119" s="50" t="s">
        <v>200</v>
      </c>
      <c r="BG119" s="50" t="s">
        <v>200</v>
      </c>
      <c r="BH119" s="50" t="s">
        <v>200</v>
      </c>
      <c r="BI119" s="50" t="s">
        <v>200</v>
      </c>
      <c r="BJ119" s="50" t="s">
        <v>200</v>
      </c>
      <c r="BK119" s="50" t="s">
        <v>200</v>
      </c>
      <c r="BL119" s="50" t="s">
        <v>200</v>
      </c>
      <c r="BM119" s="50" t="s">
        <v>436</v>
      </c>
      <c r="BN119" s="50" t="s">
        <v>318</v>
      </c>
      <c r="BO119" s="50" t="s">
        <v>91</v>
      </c>
      <c r="BP119" s="50" t="s">
        <v>286</v>
      </c>
      <c r="BQ119" s="50" t="s">
        <v>287</v>
      </c>
      <c r="BR119" s="50" t="s">
        <v>403</v>
      </c>
      <c r="BS119" s="111">
        <v>4</v>
      </c>
      <c r="BT119" s="50" t="s">
        <v>520</v>
      </c>
      <c r="BU119" s="50" t="s">
        <v>312</v>
      </c>
      <c r="BV119" s="50" t="s">
        <v>288</v>
      </c>
      <c r="BW119" s="50" t="s">
        <v>297</v>
      </c>
      <c r="BX119" s="50" t="s">
        <v>296</v>
      </c>
      <c r="BY119" s="50" t="s">
        <v>288</v>
      </c>
      <c r="BZ119" s="50" t="s">
        <v>287</v>
      </c>
      <c r="CA119" s="50"/>
      <c r="CB119" s="50" t="s">
        <v>287</v>
      </c>
      <c r="CC119" s="50" t="s">
        <v>287</v>
      </c>
      <c r="CD119" s="50" t="s">
        <v>287</v>
      </c>
      <c r="CE119" s="50"/>
      <c r="CF119" s="50" t="s">
        <v>287</v>
      </c>
      <c r="CG119" s="50" t="s">
        <v>287</v>
      </c>
      <c r="CH119" s="50" t="s">
        <v>486</v>
      </c>
      <c r="CI119" s="50" t="s">
        <v>287</v>
      </c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1:97" ht="36.75" customHeight="1" thickBot="1">
      <c r="A120" s="49">
        <v>46085.594930555555</v>
      </c>
      <c r="B120" s="50" t="s">
        <v>40</v>
      </c>
      <c r="C120" s="50" t="s">
        <v>45</v>
      </c>
      <c r="D120" s="50" t="s">
        <v>374</v>
      </c>
      <c r="E120" s="50" t="s">
        <v>62</v>
      </c>
      <c r="F120" s="50" t="s">
        <v>286</v>
      </c>
      <c r="G120" s="50" t="s">
        <v>73</v>
      </c>
      <c r="H120" s="50" t="s">
        <v>521</v>
      </c>
      <c r="I120" s="50" t="s">
        <v>81</v>
      </c>
      <c r="J120" s="50" t="s">
        <v>286</v>
      </c>
      <c r="K120" s="50" t="s">
        <v>287</v>
      </c>
      <c r="L120" s="50" t="s">
        <v>336</v>
      </c>
      <c r="M120" s="50" t="s">
        <v>7</v>
      </c>
      <c r="N120" s="111">
        <v>5</v>
      </c>
      <c r="O120" s="111">
        <v>5</v>
      </c>
      <c r="P120" s="111">
        <v>5</v>
      </c>
      <c r="Q120" s="111">
        <v>5</v>
      </c>
      <c r="R120" s="111">
        <v>5</v>
      </c>
      <c r="S120" s="111">
        <v>5</v>
      </c>
      <c r="T120" s="111">
        <v>5</v>
      </c>
      <c r="U120" s="111">
        <v>5</v>
      </c>
      <c r="V120" s="111">
        <v>5</v>
      </c>
      <c r="W120" s="111">
        <v>5</v>
      </c>
      <c r="X120" s="111">
        <v>5</v>
      </c>
      <c r="Y120" s="111">
        <v>5</v>
      </c>
      <c r="Z120" s="111">
        <v>5</v>
      </c>
      <c r="AA120" s="111">
        <v>5</v>
      </c>
      <c r="AB120" s="111">
        <v>5</v>
      </c>
      <c r="AC120" s="111">
        <v>5</v>
      </c>
      <c r="AD120" s="111">
        <v>5</v>
      </c>
      <c r="AE120" s="111">
        <v>5</v>
      </c>
      <c r="AF120" s="111">
        <v>5</v>
      </c>
      <c r="AG120" s="111">
        <v>5</v>
      </c>
      <c r="AH120" s="111">
        <v>5</v>
      </c>
      <c r="AI120" s="111">
        <v>5</v>
      </c>
      <c r="AJ120" s="111">
        <v>5</v>
      </c>
      <c r="AK120" s="111">
        <v>5</v>
      </c>
      <c r="AL120" s="111">
        <v>5</v>
      </c>
      <c r="AM120" s="111">
        <v>5</v>
      </c>
      <c r="AN120" s="111">
        <v>5</v>
      </c>
      <c r="AO120" s="111">
        <v>5</v>
      </c>
      <c r="AP120" s="111">
        <v>5</v>
      </c>
      <c r="AQ120" s="111">
        <v>5</v>
      </c>
      <c r="AR120" s="111">
        <v>5</v>
      </c>
      <c r="AS120" s="111">
        <v>5</v>
      </c>
      <c r="AT120" s="111">
        <v>5</v>
      </c>
      <c r="AU120" s="111">
        <v>5</v>
      </c>
      <c r="AV120" s="50" t="s">
        <v>199</v>
      </c>
      <c r="AW120" s="50" t="s">
        <v>199</v>
      </c>
      <c r="AX120" s="50" t="s">
        <v>199</v>
      </c>
      <c r="AY120" s="50" t="s">
        <v>200</v>
      </c>
      <c r="AZ120" s="50" t="s">
        <v>200</v>
      </c>
      <c r="BA120" s="50" t="s">
        <v>200</v>
      </c>
      <c r="BB120" s="50" t="s">
        <v>200</v>
      </c>
      <c r="BC120" s="50" t="s">
        <v>200</v>
      </c>
      <c r="BD120" s="50" t="s">
        <v>200</v>
      </c>
      <c r="BE120" s="50" t="s">
        <v>200</v>
      </c>
      <c r="BF120" s="50" t="s">
        <v>200</v>
      </c>
      <c r="BG120" s="50" t="s">
        <v>200</v>
      </c>
      <c r="BH120" s="50" t="s">
        <v>200</v>
      </c>
      <c r="BI120" s="50" t="s">
        <v>200</v>
      </c>
      <c r="BJ120" s="50" t="s">
        <v>200</v>
      </c>
      <c r="BK120" s="50" t="s">
        <v>200</v>
      </c>
      <c r="BL120" s="50" t="s">
        <v>200</v>
      </c>
      <c r="BM120" s="50" t="s">
        <v>436</v>
      </c>
      <c r="BN120" s="50" t="s">
        <v>318</v>
      </c>
      <c r="BO120" s="50" t="s">
        <v>91</v>
      </c>
      <c r="BP120" s="50" t="s">
        <v>286</v>
      </c>
      <c r="BQ120" s="50" t="s">
        <v>287</v>
      </c>
      <c r="BR120" s="50" t="s">
        <v>407</v>
      </c>
      <c r="BS120" s="111">
        <v>4</v>
      </c>
      <c r="BT120" s="50" t="s">
        <v>286</v>
      </c>
      <c r="BU120" s="50" t="s">
        <v>312</v>
      </c>
      <c r="BV120" s="50" t="s">
        <v>288</v>
      </c>
      <c r="BW120" s="50" t="s">
        <v>304</v>
      </c>
      <c r="BX120" s="50" t="s">
        <v>290</v>
      </c>
      <c r="BY120" s="50" t="s">
        <v>288</v>
      </c>
      <c r="BZ120" s="50" t="s">
        <v>287</v>
      </c>
      <c r="CA120" s="50"/>
      <c r="CB120" s="50" t="s">
        <v>287</v>
      </c>
      <c r="CC120" s="50" t="s">
        <v>287</v>
      </c>
      <c r="CD120" s="50" t="s">
        <v>287</v>
      </c>
      <c r="CE120" s="50"/>
      <c r="CF120" s="50" t="s">
        <v>287</v>
      </c>
      <c r="CG120" s="50" t="s">
        <v>287</v>
      </c>
      <c r="CH120" s="50" t="s">
        <v>486</v>
      </c>
      <c r="CI120" s="50" t="s">
        <v>287</v>
      </c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1:97" ht="36.75" customHeight="1" thickBot="1">
      <c r="A121" s="49">
        <v>46085.609490740739</v>
      </c>
      <c r="B121" s="50" t="s">
        <v>40</v>
      </c>
      <c r="C121" s="50" t="s">
        <v>45</v>
      </c>
      <c r="D121" s="50" t="s">
        <v>374</v>
      </c>
      <c r="E121" s="50" t="s">
        <v>59</v>
      </c>
      <c r="F121" s="50" t="s">
        <v>286</v>
      </c>
      <c r="G121" s="50" t="s">
        <v>73</v>
      </c>
      <c r="H121" s="50" t="s">
        <v>298</v>
      </c>
      <c r="I121" s="50" t="s">
        <v>81</v>
      </c>
      <c r="J121" s="50" t="s">
        <v>286</v>
      </c>
      <c r="K121" s="50" t="s">
        <v>287</v>
      </c>
      <c r="L121" s="50" t="s">
        <v>336</v>
      </c>
      <c r="M121" s="50" t="s">
        <v>7</v>
      </c>
      <c r="N121" s="111">
        <v>5</v>
      </c>
      <c r="O121" s="111">
        <v>5</v>
      </c>
      <c r="P121" s="111">
        <v>5</v>
      </c>
      <c r="Q121" s="111">
        <v>5</v>
      </c>
      <c r="R121" s="111">
        <v>5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5</v>
      </c>
      <c r="AC121" s="111">
        <v>5</v>
      </c>
      <c r="AD121" s="111">
        <v>5</v>
      </c>
      <c r="AE121" s="111">
        <v>5</v>
      </c>
      <c r="AF121" s="111">
        <v>5</v>
      </c>
      <c r="AG121" s="111">
        <v>5</v>
      </c>
      <c r="AH121" s="111">
        <v>5</v>
      </c>
      <c r="AI121" s="111">
        <v>5</v>
      </c>
      <c r="AJ121" s="111">
        <v>5</v>
      </c>
      <c r="AK121" s="111">
        <v>5</v>
      </c>
      <c r="AL121" s="111">
        <v>5</v>
      </c>
      <c r="AM121" s="111">
        <v>5</v>
      </c>
      <c r="AN121" s="111">
        <v>5</v>
      </c>
      <c r="AO121" s="111">
        <v>5</v>
      </c>
      <c r="AP121" s="111">
        <v>5</v>
      </c>
      <c r="AQ121" s="111">
        <v>5</v>
      </c>
      <c r="AR121" s="111">
        <v>5</v>
      </c>
      <c r="AS121" s="111">
        <v>5</v>
      </c>
      <c r="AT121" s="111">
        <v>5</v>
      </c>
      <c r="AU121" s="111">
        <v>5</v>
      </c>
      <c r="AV121" s="50" t="s">
        <v>199</v>
      </c>
      <c r="AW121" s="50" t="s">
        <v>199</v>
      </c>
      <c r="AX121" s="50" t="s">
        <v>199</v>
      </c>
      <c r="AY121" s="50" t="s">
        <v>200</v>
      </c>
      <c r="AZ121" s="50" t="s">
        <v>200</v>
      </c>
      <c r="BA121" s="50" t="s">
        <v>200</v>
      </c>
      <c r="BB121" s="50" t="s">
        <v>200</v>
      </c>
      <c r="BC121" s="50" t="s">
        <v>200</v>
      </c>
      <c r="BD121" s="50" t="s">
        <v>200</v>
      </c>
      <c r="BE121" s="50" t="s">
        <v>200</v>
      </c>
      <c r="BF121" s="50" t="s">
        <v>200</v>
      </c>
      <c r="BG121" s="50" t="s">
        <v>200</v>
      </c>
      <c r="BH121" s="50" t="s">
        <v>200</v>
      </c>
      <c r="BI121" s="50" t="s">
        <v>200</v>
      </c>
      <c r="BJ121" s="50" t="s">
        <v>200</v>
      </c>
      <c r="BK121" s="50" t="s">
        <v>200</v>
      </c>
      <c r="BL121" s="50" t="s">
        <v>200</v>
      </c>
      <c r="BM121" s="50" t="s">
        <v>436</v>
      </c>
      <c r="BN121" s="50" t="s">
        <v>318</v>
      </c>
      <c r="BO121" s="50" t="s">
        <v>91</v>
      </c>
      <c r="BP121" s="50" t="s">
        <v>286</v>
      </c>
      <c r="BQ121" s="50" t="s">
        <v>287</v>
      </c>
      <c r="BR121" s="50" t="s">
        <v>406</v>
      </c>
      <c r="BS121" s="111">
        <v>4</v>
      </c>
      <c r="BT121" s="50" t="s">
        <v>286</v>
      </c>
      <c r="BU121" s="50" t="s">
        <v>312</v>
      </c>
      <c r="BV121" s="50" t="s">
        <v>288</v>
      </c>
      <c r="BW121" s="50" t="s">
        <v>289</v>
      </c>
      <c r="BX121" s="50" t="s">
        <v>290</v>
      </c>
      <c r="BY121" s="50" t="s">
        <v>288</v>
      </c>
      <c r="BZ121" s="50" t="s">
        <v>287</v>
      </c>
      <c r="CA121" s="50"/>
      <c r="CB121" s="50" t="s">
        <v>287</v>
      </c>
      <c r="CC121" s="50" t="s">
        <v>287</v>
      </c>
      <c r="CD121" s="50" t="s">
        <v>287</v>
      </c>
      <c r="CE121" s="50"/>
      <c r="CF121" s="50" t="s">
        <v>287</v>
      </c>
      <c r="CG121" s="50" t="s">
        <v>287</v>
      </c>
      <c r="CH121" s="50" t="s">
        <v>486</v>
      </c>
      <c r="CI121" s="50" t="s">
        <v>287</v>
      </c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1:97" ht="36.75" customHeight="1" thickBot="1">
      <c r="A122" s="49">
        <v>46085.613587962966</v>
      </c>
      <c r="B122" s="50" t="s">
        <v>39</v>
      </c>
      <c r="C122" s="50" t="s">
        <v>45</v>
      </c>
      <c r="D122" s="50" t="s">
        <v>369</v>
      </c>
      <c r="E122" s="50" t="s">
        <v>285</v>
      </c>
      <c r="F122" s="50" t="s">
        <v>286</v>
      </c>
      <c r="G122" s="50" t="s">
        <v>74</v>
      </c>
      <c r="H122" s="50" t="s">
        <v>299</v>
      </c>
      <c r="I122" s="50" t="s">
        <v>91</v>
      </c>
      <c r="J122" s="50" t="s">
        <v>286</v>
      </c>
      <c r="K122" s="50" t="s">
        <v>291</v>
      </c>
      <c r="L122" s="50" t="s">
        <v>286</v>
      </c>
      <c r="M122" s="50" t="s">
        <v>370</v>
      </c>
      <c r="N122" s="111">
        <v>5</v>
      </c>
      <c r="O122" s="111">
        <v>5</v>
      </c>
      <c r="P122" s="111">
        <v>5</v>
      </c>
      <c r="Q122" s="111">
        <v>5</v>
      </c>
      <c r="R122" s="111">
        <v>5</v>
      </c>
      <c r="S122" s="111">
        <v>6</v>
      </c>
      <c r="T122" s="111">
        <v>5</v>
      </c>
      <c r="U122" s="111">
        <v>5</v>
      </c>
      <c r="V122" s="111">
        <v>6</v>
      </c>
      <c r="W122" s="111">
        <v>6</v>
      </c>
      <c r="X122" s="111">
        <v>6</v>
      </c>
      <c r="Y122" s="111">
        <v>6</v>
      </c>
      <c r="Z122" s="111">
        <v>6</v>
      </c>
      <c r="AA122" s="111">
        <v>6</v>
      </c>
      <c r="AB122" s="111">
        <v>6</v>
      </c>
      <c r="AC122" s="111">
        <v>5</v>
      </c>
      <c r="AD122" s="111">
        <v>5</v>
      </c>
      <c r="AE122" s="111">
        <v>5</v>
      </c>
      <c r="AF122" s="111">
        <v>5</v>
      </c>
      <c r="AG122" s="111">
        <v>5</v>
      </c>
      <c r="AH122" s="111">
        <v>5</v>
      </c>
      <c r="AI122" s="111">
        <v>5</v>
      </c>
      <c r="AJ122" s="111">
        <v>5</v>
      </c>
      <c r="AK122" s="111">
        <v>5</v>
      </c>
      <c r="AL122" s="111">
        <v>5</v>
      </c>
      <c r="AM122" s="111">
        <v>5</v>
      </c>
      <c r="AN122" s="111">
        <v>5</v>
      </c>
      <c r="AO122" s="111">
        <v>5</v>
      </c>
      <c r="AP122" s="111">
        <v>5</v>
      </c>
      <c r="AQ122" s="111">
        <v>6</v>
      </c>
      <c r="AR122" s="111">
        <v>5</v>
      </c>
      <c r="AS122" s="111">
        <v>5</v>
      </c>
      <c r="AT122" s="111">
        <v>5</v>
      </c>
      <c r="AU122" s="111">
        <v>5</v>
      </c>
      <c r="AV122" s="50" t="s">
        <v>202</v>
      </c>
      <c r="AW122" s="50" t="s">
        <v>202</v>
      </c>
      <c r="AX122" s="50" t="s">
        <v>201</v>
      </c>
      <c r="AY122" s="50" t="s">
        <v>199</v>
      </c>
      <c r="AZ122" s="50" t="s">
        <v>201</v>
      </c>
      <c r="BA122" s="50" t="s">
        <v>199</v>
      </c>
      <c r="BB122" s="50" t="s">
        <v>202</v>
      </c>
      <c r="BC122" s="50" t="s">
        <v>202</v>
      </c>
      <c r="BD122" s="50" t="s">
        <v>202</v>
      </c>
      <c r="BE122" s="50" t="s">
        <v>202</v>
      </c>
      <c r="BF122" s="50" t="s">
        <v>201</v>
      </c>
      <c r="BG122" s="50" t="s">
        <v>202</v>
      </c>
      <c r="BH122" s="50" t="s">
        <v>200</v>
      </c>
      <c r="BI122" s="50" t="s">
        <v>202</v>
      </c>
      <c r="BJ122" s="50" t="s">
        <v>202</v>
      </c>
      <c r="BK122" s="50" t="s">
        <v>202</v>
      </c>
      <c r="BL122" s="50" t="s">
        <v>202</v>
      </c>
      <c r="BM122" s="50" t="s">
        <v>436</v>
      </c>
      <c r="BN122" s="50" t="s">
        <v>399</v>
      </c>
      <c r="BO122" s="50" t="s">
        <v>91</v>
      </c>
      <c r="BP122" s="50" t="s">
        <v>286</v>
      </c>
      <c r="BQ122" s="50" t="s">
        <v>287</v>
      </c>
      <c r="BR122" s="50" t="s">
        <v>372</v>
      </c>
      <c r="BS122" s="111">
        <v>5</v>
      </c>
      <c r="BT122" s="50" t="s">
        <v>286</v>
      </c>
      <c r="BU122" s="50" t="s">
        <v>348</v>
      </c>
      <c r="BV122" s="50" t="s">
        <v>288</v>
      </c>
      <c r="BW122" s="50" t="s">
        <v>350</v>
      </c>
      <c r="BX122" s="50" t="s">
        <v>387</v>
      </c>
      <c r="BY122" s="50" t="s">
        <v>288</v>
      </c>
      <c r="BZ122" s="50" t="s">
        <v>287</v>
      </c>
      <c r="CA122" s="50"/>
      <c r="CB122" s="50" t="s">
        <v>287</v>
      </c>
      <c r="CC122" s="50" t="s">
        <v>287</v>
      </c>
      <c r="CD122" s="50" t="s">
        <v>287</v>
      </c>
      <c r="CE122" s="50"/>
      <c r="CF122" s="50" t="s">
        <v>287</v>
      </c>
      <c r="CG122" s="50" t="s">
        <v>287</v>
      </c>
      <c r="CH122" s="50" t="s">
        <v>486</v>
      </c>
      <c r="CI122" s="50" t="s">
        <v>287</v>
      </c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1:97" ht="36.75" customHeight="1" thickBot="1">
      <c r="A123" s="49">
        <v>46085.633298611108</v>
      </c>
      <c r="B123" s="50" t="s">
        <v>40</v>
      </c>
      <c r="C123" s="50" t="s">
        <v>45</v>
      </c>
      <c r="D123" s="50" t="s">
        <v>374</v>
      </c>
      <c r="E123" s="50" t="s">
        <v>61</v>
      </c>
      <c r="F123" s="50" t="s">
        <v>286</v>
      </c>
      <c r="G123" s="50" t="s">
        <v>73</v>
      </c>
      <c r="H123" s="50" t="s">
        <v>481</v>
      </c>
      <c r="I123" s="50" t="s">
        <v>81</v>
      </c>
      <c r="J123" s="50" t="s">
        <v>286</v>
      </c>
      <c r="K123" s="50" t="s">
        <v>287</v>
      </c>
      <c r="L123" s="50" t="s">
        <v>336</v>
      </c>
      <c r="M123" s="50" t="s">
        <v>7</v>
      </c>
      <c r="N123" s="111">
        <v>5</v>
      </c>
      <c r="O123" s="111">
        <v>5</v>
      </c>
      <c r="P123" s="111">
        <v>5</v>
      </c>
      <c r="Q123" s="111">
        <v>5</v>
      </c>
      <c r="R123" s="111">
        <v>5</v>
      </c>
      <c r="S123" s="111">
        <v>5</v>
      </c>
      <c r="T123" s="111">
        <v>5</v>
      </c>
      <c r="U123" s="111">
        <v>5</v>
      </c>
      <c r="V123" s="111">
        <v>5</v>
      </c>
      <c r="W123" s="111">
        <v>5</v>
      </c>
      <c r="X123" s="111">
        <v>5</v>
      </c>
      <c r="Y123" s="111">
        <v>5</v>
      </c>
      <c r="Z123" s="111">
        <v>5</v>
      </c>
      <c r="AA123" s="111">
        <v>5</v>
      </c>
      <c r="AB123" s="111">
        <v>5</v>
      </c>
      <c r="AC123" s="111">
        <v>5</v>
      </c>
      <c r="AD123" s="111">
        <v>5</v>
      </c>
      <c r="AE123" s="111">
        <v>5</v>
      </c>
      <c r="AF123" s="111">
        <v>5</v>
      </c>
      <c r="AG123" s="111">
        <v>5</v>
      </c>
      <c r="AH123" s="111">
        <v>5</v>
      </c>
      <c r="AI123" s="111">
        <v>5</v>
      </c>
      <c r="AJ123" s="111">
        <v>5</v>
      </c>
      <c r="AK123" s="111">
        <v>5</v>
      </c>
      <c r="AL123" s="111">
        <v>5</v>
      </c>
      <c r="AM123" s="111">
        <v>5</v>
      </c>
      <c r="AN123" s="111">
        <v>5</v>
      </c>
      <c r="AO123" s="111">
        <v>5</v>
      </c>
      <c r="AP123" s="111">
        <v>5</v>
      </c>
      <c r="AQ123" s="111">
        <v>5</v>
      </c>
      <c r="AR123" s="111">
        <v>5</v>
      </c>
      <c r="AS123" s="111">
        <v>5</v>
      </c>
      <c r="AT123" s="111">
        <v>5</v>
      </c>
      <c r="AU123" s="111">
        <v>5</v>
      </c>
      <c r="AV123" s="50" t="s">
        <v>199</v>
      </c>
      <c r="AW123" s="50" t="s">
        <v>199</v>
      </c>
      <c r="AX123" s="50" t="s">
        <v>199</v>
      </c>
      <c r="AY123" s="50" t="s">
        <v>200</v>
      </c>
      <c r="AZ123" s="50" t="s">
        <v>200</v>
      </c>
      <c r="BA123" s="50" t="s">
        <v>200</v>
      </c>
      <c r="BB123" s="50" t="s">
        <v>200</v>
      </c>
      <c r="BC123" s="50" t="s">
        <v>200</v>
      </c>
      <c r="BD123" s="50" t="s">
        <v>200</v>
      </c>
      <c r="BE123" s="50" t="s">
        <v>200</v>
      </c>
      <c r="BF123" s="50" t="s">
        <v>200</v>
      </c>
      <c r="BG123" s="50" t="s">
        <v>200</v>
      </c>
      <c r="BH123" s="50" t="s">
        <v>200</v>
      </c>
      <c r="BI123" s="50" t="s">
        <v>200</v>
      </c>
      <c r="BJ123" s="50" t="s">
        <v>200</v>
      </c>
      <c r="BK123" s="50" t="s">
        <v>200</v>
      </c>
      <c r="BL123" s="50" t="s">
        <v>200</v>
      </c>
      <c r="BM123" s="50" t="s">
        <v>436</v>
      </c>
      <c r="BN123" s="50" t="s">
        <v>318</v>
      </c>
      <c r="BO123" s="50" t="s">
        <v>91</v>
      </c>
      <c r="BP123" s="50" t="s">
        <v>286</v>
      </c>
      <c r="BQ123" s="50" t="s">
        <v>287</v>
      </c>
      <c r="BR123" s="50" t="s">
        <v>403</v>
      </c>
      <c r="BS123" s="111">
        <v>4</v>
      </c>
      <c r="BT123" s="50" t="s">
        <v>286</v>
      </c>
      <c r="BU123" s="50" t="s">
        <v>312</v>
      </c>
      <c r="BV123" s="50" t="s">
        <v>288</v>
      </c>
      <c r="BW123" s="50" t="s">
        <v>304</v>
      </c>
      <c r="BX123" s="50" t="s">
        <v>300</v>
      </c>
      <c r="BY123" s="50" t="s">
        <v>288</v>
      </c>
      <c r="BZ123" s="50" t="s">
        <v>287</v>
      </c>
      <c r="CA123" s="50"/>
      <c r="CB123" s="50" t="s">
        <v>287</v>
      </c>
      <c r="CC123" s="50" t="s">
        <v>287</v>
      </c>
      <c r="CD123" s="50" t="s">
        <v>287</v>
      </c>
      <c r="CE123" s="50"/>
      <c r="CF123" s="50" t="s">
        <v>287</v>
      </c>
      <c r="CG123" s="50" t="s">
        <v>287</v>
      </c>
      <c r="CH123" s="50" t="s">
        <v>486</v>
      </c>
      <c r="CI123" s="50" t="s">
        <v>287</v>
      </c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1:97" ht="36.75" customHeight="1" thickBot="1">
      <c r="A124" s="49">
        <v>46085.635312500002</v>
      </c>
      <c r="B124" s="50" t="s">
        <v>40</v>
      </c>
      <c r="C124" s="50" t="s">
        <v>45</v>
      </c>
      <c r="D124" s="50" t="s">
        <v>374</v>
      </c>
      <c r="E124" s="50" t="s">
        <v>61</v>
      </c>
      <c r="F124" s="50" t="s">
        <v>286</v>
      </c>
      <c r="G124" s="50" t="s">
        <v>73</v>
      </c>
      <c r="H124" s="50" t="s">
        <v>327</v>
      </c>
      <c r="I124" s="50" t="s">
        <v>81</v>
      </c>
      <c r="J124" s="50" t="s">
        <v>286</v>
      </c>
      <c r="K124" s="50" t="s">
        <v>287</v>
      </c>
      <c r="L124" s="50" t="s">
        <v>336</v>
      </c>
      <c r="M124" s="50" t="s">
        <v>7</v>
      </c>
      <c r="N124" s="111">
        <v>5</v>
      </c>
      <c r="O124" s="111">
        <v>5</v>
      </c>
      <c r="P124" s="111">
        <v>5</v>
      </c>
      <c r="Q124" s="111">
        <v>5</v>
      </c>
      <c r="R124" s="111">
        <v>5</v>
      </c>
      <c r="S124" s="111">
        <v>5</v>
      </c>
      <c r="T124" s="111">
        <v>5</v>
      </c>
      <c r="U124" s="111">
        <v>5</v>
      </c>
      <c r="V124" s="111">
        <v>5</v>
      </c>
      <c r="W124" s="111">
        <v>5</v>
      </c>
      <c r="X124" s="111">
        <v>5</v>
      </c>
      <c r="Y124" s="111">
        <v>5</v>
      </c>
      <c r="Z124" s="111">
        <v>5</v>
      </c>
      <c r="AA124" s="111">
        <v>5</v>
      </c>
      <c r="AB124" s="111">
        <v>5</v>
      </c>
      <c r="AC124" s="111">
        <v>5</v>
      </c>
      <c r="AD124" s="111">
        <v>5</v>
      </c>
      <c r="AE124" s="111">
        <v>5</v>
      </c>
      <c r="AF124" s="111">
        <v>5</v>
      </c>
      <c r="AG124" s="111">
        <v>5</v>
      </c>
      <c r="AH124" s="111">
        <v>5</v>
      </c>
      <c r="AI124" s="111">
        <v>5</v>
      </c>
      <c r="AJ124" s="111">
        <v>5</v>
      </c>
      <c r="AK124" s="111">
        <v>5</v>
      </c>
      <c r="AL124" s="111">
        <v>5</v>
      </c>
      <c r="AM124" s="111">
        <v>5</v>
      </c>
      <c r="AN124" s="111">
        <v>5</v>
      </c>
      <c r="AO124" s="111">
        <v>5</v>
      </c>
      <c r="AP124" s="111">
        <v>5</v>
      </c>
      <c r="AQ124" s="111">
        <v>5</v>
      </c>
      <c r="AR124" s="111">
        <v>5</v>
      </c>
      <c r="AS124" s="111">
        <v>5</v>
      </c>
      <c r="AT124" s="111">
        <v>5</v>
      </c>
      <c r="AU124" s="111">
        <v>5</v>
      </c>
      <c r="AV124" s="50" t="s">
        <v>199</v>
      </c>
      <c r="AW124" s="50" t="s">
        <v>199</v>
      </c>
      <c r="AX124" s="50" t="s">
        <v>199</v>
      </c>
      <c r="AY124" s="50" t="s">
        <v>200</v>
      </c>
      <c r="AZ124" s="50" t="s">
        <v>200</v>
      </c>
      <c r="BA124" s="50" t="s">
        <v>200</v>
      </c>
      <c r="BB124" s="50" t="s">
        <v>200</v>
      </c>
      <c r="BC124" s="50" t="s">
        <v>200</v>
      </c>
      <c r="BD124" s="50" t="s">
        <v>200</v>
      </c>
      <c r="BE124" s="50" t="s">
        <v>200</v>
      </c>
      <c r="BF124" s="50" t="s">
        <v>200</v>
      </c>
      <c r="BG124" s="50" t="s">
        <v>200</v>
      </c>
      <c r="BH124" s="50" t="s">
        <v>200</v>
      </c>
      <c r="BI124" s="50" t="s">
        <v>200</v>
      </c>
      <c r="BJ124" s="50" t="s">
        <v>200</v>
      </c>
      <c r="BK124" s="50" t="s">
        <v>200</v>
      </c>
      <c r="BL124" s="50" t="s">
        <v>200</v>
      </c>
      <c r="BM124" s="50" t="s">
        <v>436</v>
      </c>
      <c r="BN124" s="50" t="s">
        <v>318</v>
      </c>
      <c r="BO124" s="50" t="s">
        <v>91</v>
      </c>
      <c r="BP124" s="50" t="s">
        <v>286</v>
      </c>
      <c r="BQ124" s="50" t="s">
        <v>287</v>
      </c>
      <c r="BR124" s="50" t="s">
        <v>403</v>
      </c>
      <c r="BS124" s="111">
        <v>4</v>
      </c>
      <c r="BT124" s="50" t="s">
        <v>286</v>
      </c>
      <c r="BU124" s="50" t="s">
        <v>312</v>
      </c>
      <c r="BV124" s="50" t="s">
        <v>288</v>
      </c>
      <c r="BW124" s="50" t="s">
        <v>289</v>
      </c>
      <c r="BX124" s="50" t="s">
        <v>290</v>
      </c>
      <c r="BY124" s="50" t="s">
        <v>288</v>
      </c>
      <c r="BZ124" s="50" t="s">
        <v>287</v>
      </c>
      <c r="CA124" s="50"/>
      <c r="CB124" s="50" t="s">
        <v>287</v>
      </c>
      <c r="CC124" s="50" t="s">
        <v>287</v>
      </c>
      <c r="CD124" s="50" t="s">
        <v>287</v>
      </c>
      <c r="CE124" s="50"/>
      <c r="CF124" s="50" t="s">
        <v>287</v>
      </c>
      <c r="CG124" s="50" t="s">
        <v>287</v>
      </c>
      <c r="CH124" s="50" t="s">
        <v>486</v>
      </c>
      <c r="CI124" s="50" t="s">
        <v>287</v>
      </c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1:97" ht="36.75" customHeight="1" thickBot="1">
      <c r="A125" s="49">
        <v>46085.637511574074</v>
      </c>
      <c r="B125" s="50" t="s">
        <v>40</v>
      </c>
      <c r="C125" s="50" t="s">
        <v>45</v>
      </c>
      <c r="D125" s="50" t="s">
        <v>374</v>
      </c>
      <c r="E125" s="50" t="s">
        <v>62</v>
      </c>
      <c r="F125" s="50" t="s">
        <v>286</v>
      </c>
      <c r="G125" s="50" t="s">
        <v>292</v>
      </c>
      <c r="H125" s="50" t="s">
        <v>356</v>
      </c>
      <c r="I125" s="50" t="s">
        <v>81</v>
      </c>
      <c r="J125" s="50" t="s">
        <v>286</v>
      </c>
      <c r="K125" s="50" t="s">
        <v>287</v>
      </c>
      <c r="L125" s="50" t="s">
        <v>336</v>
      </c>
      <c r="M125" s="50" t="s">
        <v>7</v>
      </c>
      <c r="N125" s="111">
        <v>5</v>
      </c>
      <c r="O125" s="111">
        <v>5</v>
      </c>
      <c r="P125" s="111">
        <v>5</v>
      </c>
      <c r="Q125" s="111">
        <v>5</v>
      </c>
      <c r="R125" s="111">
        <v>5</v>
      </c>
      <c r="S125" s="111">
        <v>5</v>
      </c>
      <c r="T125" s="111">
        <v>5</v>
      </c>
      <c r="U125" s="111">
        <v>5</v>
      </c>
      <c r="V125" s="111">
        <v>5</v>
      </c>
      <c r="W125" s="111">
        <v>5</v>
      </c>
      <c r="X125" s="111">
        <v>5</v>
      </c>
      <c r="Y125" s="111">
        <v>5</v>
      </c>
      <c r="Z125" s="111">
        <v>5</v>
      </c>
      <c r="AA125" s="111">
        <v>5</v>
      </c>
      <c r="AB125" s="111">
        <v>5</v>
      </c>
      <c r="AC125" s="111">
        <v>5</v>
      </c>
      <c r="AD125" s="111">
        <v>5</v>
      </c>
      <c r="AE125" s="111">
        <v>5</v>
      </c>
      <c r="AF125" s="111">
        <v>5</v>
      </c>
      <c r="AG125" s="111">
        <v>5</v>
      </c>
      <c r="AH125" s="111">
        <v>5</v>
      </c>
      <c r="AI125" s="111">
        <v>5</v>
      </c>
      <c r="AJ125" s="111">
        <v>5</v>
      </c>
      <c r="AK125" s="111">
        <v>5</v>
      </c>
      <c r="AL125" s="111">
        <v>5</v>
      </c>
      <c r="AM125" s="111">
        <v>5</v>
      </c>
      <c r="AN125" s="111">
        <v>5</v>
      </c>
      <c r="AO125" s="111">
        <v>5</v>
      </c>
      <c r="AP125" s="111">
        <v>5</v>
      </c>
      <c r="AQ125" s="111">
        <v>5</v>
      </c>
      <c r="AR125" s="111">
        <v>5</v>
      </c>
      <c r="AS125" s="111">
        <v>5</v>
      </c>
      <c r="AT125" s="111">
        <v>5</v>
      </c>
      <c r="AU125" s="111">
        <v>5</v>
      </c>
      <c r="AV125" s="50" t="s">
        <v>199</v>
      </c>
      <c r="AW125" s="50" t="s">
        <v>199</v>
      </c>
      <c r="AX125" s="50" t="s">
        <v>199</v>
      </c>
      <c r="AY125" s="50" t="s">
        <v>200</v>
      </c>
      <c r="AZ125" s="50" t="s">
        <v>200</v>
      </c>
      <c r="BA125" s="50" t="s">
        <v>200</v>
      </c>
      <c r="BB125" s="50" t="s">
        <v>200</v>
      </c>
      <c r="BC125" s="50" t="s">
        <v>200</v>
      </c>
      <c r="BD125" s="50" t="s">
        <v>200</v>
      </c>
      <c r="BE125" s="50" t="s">
        <v>200</v>
      </c>
      <c r="BF125" s="50" t="s">
        <v>200</v>
      </c>
      <c r="BG125" s="50" t="s">
        <v>200</v>
      </c>
      <c r="BH125" s="50" t="s">
        <v>200</v>
      </c>
      <c r="BI125" s="50" t="s">
        <v>200</v>
      </c>
      <c r="BJ125" s="50" t="s">
        <v>200</v>
      </c>
      <c r="BK125" s="50" t="s">
        <v>200</v>
      </c>
      <c r="BL125" s="50" t="s">
        <v>200</v>
      </c>
      <c r="BM125" s="50" t="s">
        <v>436</v>
      </c>
      <c r="BN125" s="50" t="s">
        <v>318</v>
      </c>
      <c r="BO125" s="50" t="s">
        <v>91</v>
      </c>
      <c r="BP125" s="50" t="s">
        <v>286</v>
      </c>
      <c r="BQ125" s="50" t="s">
        <v>287</v>
      </c>
      <c r="BR125" s="50" t="s">
        <v>407</v>
      </c>
      <c r="BS125" s="111">
        <v>4</v>
      </c>
      <c r="BT125" s="50" t="s">
        <v>286</v>
      </c>
      <c r="BU125" s="50" t="s">
        <v>312</v>
      </c>
      <c r="BV125" s="50" t="s">
        <v>288</v>
      </c>
      <c r="BW125" s="50" t="s">
        <v>304</v>
      </c>
      <c r="BX125" s="50" t="s">
        <v>300</v>
      </c>
      <c r="BY125" s="50" t="s">
        <v>288</v>
      </c>
      <c r="BZ125" s="50" t="s">
        <v>287</v>
      </c>
      <c r="CA125" s="50"/>
      <c r="CB125" s="50" t="s">
        <v>287</v>
      </c>
      <c r="CC125" s="50" t="s">
        <v>287</v>
      </c>
      <c r="CD125" s="50" t="s">
        <v>287</v>
      </c>
      <c r="CE125" s="50"/>
      <c r="CF125" s="50" t="s">
        <v>287</v>
      </c>
      <c r="CG125" s="50" t="s">
        <v>287</v>
      </c>
      <c r="CH125" s="50" t="s">
        <v>486</v>
      </c>
      <c r="CI125" s="50" t="s">
        <v>287</v>
      </c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1:97" ht="36.75" customHeight="1" thickBot="1">
      <c r="A126" s="49">
        <v>46085.687013888892</v>
      </c>
      <c r="B126" s="50" t="s">
        <v>40</v>
      </c>
      <c r="C126" s="50" t="s">
        <v>45</v>
      </c>
      <c r="D126" s="50" t="s">
        <v>374</v>
      </c>
      <c r="E126" s="50" t="s">
        <v>61</v>
      </c>
      <c r="F126" s="50" t="s">
        <v>286</v>
      </c>
      <c r="G126" s="50" t="s">
        <v>73</v>
      </c>
      <c r="H126" s="50" t="s">
        <v>321</v>
      </c>
      <c r="I126" s="50" t="s">
        <v>81</v>
      </c>
      <c r="J126" s="50" t="s">
        <v>286</v>
      </c>
      <c r="K126" s="50" t="s">
        <v>287</v>
      </c>
      <c r="L126" s="50" t="s">
        <v>379</v>
      </c>
      <c r="M126" s="50" t="s">
        <v>370</v>
      </c>
      <c r="N126" s="111">
        <v>5</v>
      </c>
      <c r="O126" s="111">
        <v>5</v>
      </c>
      <c r="P126" s="111">
        <v>5</v>
      </c>
      <c r="Q126" s="111">
        <v>5</v>
      </c>
      <c r="R126" s="111">
        <v>6</v>
      </c>
      <c r="S126" s="111">
        <v>6</v>
      </c>
      <c r="T126" s="111">
        <v>4</v>
      </c>
      <c r="U126" s="111">
        <v>5</v>
      </c>
      <c r="V126" s="111">
        <v>6</v>
      </c>
      <c r="W126" s="111">
        <v>6</v>
      </c>
      <c r="X126" s="111">
        <v>6</v>
      </c>
      <c r="Y126" s="111">
        <v>6</v>
      </c>
      <c r="Z126" s="111">
        <v>6</v>
      </c>
      <c r="AA126" s="111">
        <v>6</v>
      </c>
      <c r="AB126" s="111">
        <v>6</v>
      </c>
      <c r="AC126" s="111">
        <v>5</v>
      </c>
      <c r="AD126" s="111">
        <v>5</v>
      </c>
      <c r="AE126" s="111">
        <v>5</v>
      </c>
      <c r="AF126" s="111">
        <v>5</v>
      </c>
      <c r="AG126" s="111">
        <v>5</v>
      </c>
      <c r="AH126" s="111">
        <v>5</v>
      </c>
      <c r="AI126" s="111">
        <v>5</v>
      </c>
      <c r="AJ126" s="111">
        <v>5</v>
      </c>
      <c r="AK126" s="111">
        <v>5</v>
      </c>
      <c r="AL126" s="111">
        <v>5</v>
      </c>
      <c r="AM126" s="111">
        <v>5</v>
      </c>
      <c r="AN126" s="111">
        <v>5</v>
      </c>
      <c r="AO126" s="111">
        <v>5</v>
      </c>
      <c r="AP126" s="111">
        <v>5</v>
      </c>
      <c r="AQ126" s="111">
        <v>6</v>
      </c>
      <c r="AR126" s="111">
        <v>5</v>
      </c>
      <c r="AS126" s="111">
        <v>5</v>
      </c>
      <c r="AT126" s="111">
        <v>5</v>
      </c>
      <c r="AU126" s="111">
        <v>5</v>
      </c>
      <c r="AV126" s="50" t="s">
        <v>202</v>
      </c>
      <c r="AW126" s="50" t="s">
        <v>201</v>
      </c>
      <c r="AX126" s="50" t="s">
        <v>202</v>
      </c>
      <c r="AY126" s="50" t="s">
        <v>199</v>
      </c>
      <c r="AZ126" s="50" t="s">
        <v>202</v>
      </c>
      <c r="BA126" s="50" t="s">
        <v>199</v>
      </c>
      <c r="BB126" s="50" t="s">
        <v>202</v>
      </c>
      <c r="BC126" s="50" t="s">
        <v>202</v>
      </c>
      <c r="BD126" s="50" t="s">
        <v>202</v>
      </c>
      <c r="BE126" s="50" t="s">
        <v>199</v>
      </c>
      <c r="BF126" s="50" t="s">
        <v>201</v>
      </c>
      <c r="BG126" s="50" t="s">
        <v>202</v>
      </c>
      <c r="BH126" s="50" t="s">
        <v>202</v>
      </c>
      <c r="BI126" s="50" t="s">
        <v>202</v>
      </c>
      <c r="BJ126" s="50" t="s">
        <v>202</v>
      </c>
      <c r="BK126" s="50" t="s">
        <v>202</v>
      </c>
      <c r="BL126" s="50" t="s">
        <v>202</v>
      </c>
      <c r="BM126" s="50" t="s">
        <v>436</v>
      </c>
      <c r="BN126" s="50" t="s">
        <v>480</v>
      </c>
      <c r="BO126" s="50" t="s">
        <v>91</v>
      </c>
      <c r="BP126" s="50" t="s">
        <v>286</v>
      </c>
      <c r="BQ126" s="50" t="s">
        <v>287</v>
      </c>
      <c r="BR126" s="50" t="s">
        <v>386</v>
      </c>
      <c r="BS126" s="111">
        <v>5</v>
      </c>
      <c r="BT126" s="50" t="s">
        <v>286</v>
      </c>
      <c r="BU126" s="50" t="s">
        <v>348</v>
      </c>
      <c r="BV126" s="50" t="s">
        <v>288</v>
      </c>
      <c r="BW126" s="50" t="s">
        <v>350</v>
      </c>
      <c r="BX126" s="50" t="s">
        <v>387</v>
      </c>
      <c r="BY126" s="50" t="s">
        <v>288</v>
      </c>
      <c r="BZ126" s="50" t="s">
        <v>287</v>
      </c>
      <c r="CA126" s="50"/>
      <c r="CB126" s="50" t="s">
        <v>287</v>
      </c>
      <c r="CC126" s="50" t="s">
        <v>287</v>
      </c>
      <c r="CD126" s="50" t="s">
        <v>287</v>
      </c>
      <c r="CE126" s="50"/>
      <c r="CF126" s="50" t="s">
        <v>287</v>
      </c>
      <c r="CG126" s="50" t="s">
        <v>287</v>
      </c>
      <c r="CH126" s="50" t="s">
        <v>486</v>
      </c>
      <c r="CI126" s="50" t="s">
        <v>287</v>
      </c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1:97" ht="36.75" customHeight="1" thickBot="1">
      <c r="A127" s="49">
        <v>46085.689270833333</v>
      </c>
      <c r="B127" s="50" t="s">
        <v>40</v>
      </c>
      <c r="C127" s="50" t="s">
        <v>46</v>
      </c>
      <c r="D127" s="50" t="s">
        <v>374</v>
      </c>
      <c r="E127" s="50" t="s">
        <v>61</v>
      </c>
      <c r="F127" s="50" t="s">
        <v>286</v>
      </c>
      <c r="G127" s="50" t="s">
        <v>73</v>
      </c>
      <c r="H127" s="50" t="s">
        <v>345</v>
      </c>
      <c r="I127" s="50" t="s">
        <v>81</v>
      </c>
      <c r="J127" s="50" t="s">
        <v>286</v>
      </c>
      <c r="K127" s="50" t="s">
        <v>287</v>
      </c>
      <c r="L127" s="50" t="s">
        <v>379</v>
      </c>
      <c r="M127" s="50" t="s">
        <v>370</v>
      </c>
      <c r="N127" s="111">
        <v>5</v>
      </c>
      <c r="O127" s="111">
        <v>5</v>
      </c>
      <c r="P127" s="111">
        <v>5</v>
      </c>
      <c r="Q127" s="111">
        <v>5</v>
      </c>
      <c r="R127" s="111">
        <v>6</v>
      </c>
      <c r="S127" s="111">
        <v>6</v>
      </c>
      <c r="T127" s="111">
        <v>5</v>
      </c>
      <c r="U127" s="111">
        <v>5</v>
      </c>
      <c r="V127" s="111">
        <v>6</v>
      </c>
      <c r="W127" s="111">
        <v>6</v>
      </c>
      <c r="X127" s="111">
        <v>6</v>
      </c>
      <c r="Y127" s="111">
        <v>6</v>
      </c>
      <c r="Z127" s="111">
        <v>6</v>
      </c>
      <c r="AA127" s="111">
        <v>6</v>
      </c>
      <c r="AB127" s="111">
        <v>6</v>
      </c>
      <c r="AC127" s="111">
        <v>5</v>
      </c>
      <c r="AD127" s="111">
        <v>5</v>
      </c>
      <c r="AE127" s="111">
        <v>5</v>
      </c>
      <c r="AF127" s="111">
        <v>5</v>
      </c>
      <c r="AG127" s="111">
        <v>5</v>
      </c>
      <c r="AH127" s="111">
        <v>5</v>
      </c>
      <c r="AI127" s="111">
        <v>5</v>
      </c>
      <c r="AJ127" s="111">
        <v>5</v>
      </c>
      <c r="AK127" s="111">
        <v>5</v>
      </c>
      <c r="AL127" s="111">
        <v>5</v>
      </c>
      <c r="AM127" s="111">
        <v>5</v>
      </c>
      <c r="AN127" s="111">
        <v>5</v>
      </c>
      <c r="AO127" s="111">
        <v>5</v>
      </c>
      <c r="AP127" s="111">
        <v>5</v>
      </c>
      <c r="AQ127" s="111">
        <v>6</v>
      </c>
      <c r="AR127" s="111">
        <v>5</v>
      </c>
      <c r="AS127" s="111">
        <v>5</v>
      </c>
      <c r="AT127" s="111">
        <v>5</v>
      </c>
      <c r="AU127" s="111">
        <v>5</v>
      </c>
      <c r="AV127" s="50" t="s">
        <v>202</v>
      </c>
      <c r="AW127" s="50" t="s">
        <v>202</v>
      </c>
      <c r="AX127" s="50" t="s">
        <v>199</v>
      </c>
      <c r="AY127" s="50" t="s">
        <v>199</v>
      </c>
      <c r="AZ127" s="50" t="s">
        <v>202</v>
      </c>
      <c r="BA127" s="50" t="s">
        <v>199</v>
      </c>
      <c r="BB127" s="50" t="s">
        <v>202</v>
      </c>
      <c r="BC127" s="50" t="s">
        <v>202</v>
      </c>
      <c r="BD127" s="50" t="s">
        <v>202</v>
      </c>
      <c r="BE127" s="50" t="s">
        <v>199</v>
      </c>
      <c r="BF127" s="50" t="s">
        <v>201</v>
      </c>
      <c r="BG127" s="50" t="s">
        <v>202</v>
      </c>
      <c r="BH127" s="50" t="s">
        <v>201</v>
      </c>
      <c r="BI127" s="50" t="s">
        <v>202</v>
      </c>
      <c r="BJ127" s="50" t="s">
        <v>202</v>
      </c>
      <c r="BK127" s="50" t="s">
        <v>202</v>
      </c>
      <c r="BL127" s="50" t="s">
        <v>202</v>
      </c>
      <c r="BM127" s="50" t="s">
        <v>436</v>
      </c>
      <c r="BN127" s="50" t="s">
        <v>399</v>
      </c>
      <c r="BO127" s="50" t="s">
        <v>91</v>
      </c>
      <c r="BP127" s="50" t="s">
        <v>286</v>
      </c>
      <c r="BQ127" s="50" t="s">
        <v>287</v>
      </c>
      <c r="BR127" s="50" t="s">
        <v>372</v>
      </c>
      <c r="BS127" s="111">
        <v>5</v>
      </c>
      <c r="BT127" s="50" t="s">
        <v>286</v>
      </c>
      <c r="BU127" s="50" t="s">
        <v>348</v>
      </c>
      <c r="BV127" s="50" t="s">
        <v>288</v>
      </c>
      <c r="BW127" s="50" t="s">
        <v>350</v>
      </c>
      <c r="BX127" s="50" t="s">
        <v>387</v>
      </c>
      <c r="BY127" s="50" t="s">
        <v>288</v>
      </c>
      <c r="BZ127" s="50" t="s">
        <v>287</v>
      </c>
      <c r="CA127" s="50"/>
      <c r="CB127" s="50" t="s">
        <v>287</v>
      </c>
      <c r="CC127" s="50" t="s">
        <v>287</v>
      </c>
      <c r="CD127" s="50" t="s">
        <v>287</v>
      </c>
      <c r="CE127" s="50"/>
      <c r="CF127" s="50" t="s">
        <v>287</v>
      </c>
      <c r="CG127" s="50" t="s">
        <v>287</v>
      </c>
      <c r="CH127" s="50" t="s">
        <v>486</v>
      </c>
      <c r="CI127" s="50" t="s">
        <v>287</v>
      </c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1:97" ht="36.75" customHeight="1" thickBot="1">
      <c r="A128" s="49">
        <v>46085.692476851851</v>
      </c>
      <c r="B128" s="50" t="s">
        <v>40</v>
      </c>
      <c r="C128" s="50" t="s">
        <v>46</v>
      </c>
      <c r="D128" s="50" t="s">
        <v>369</v>
      </c>
      <c r="E128" s="50" t="s">
        <v>285</v>
      </c>
      <c r="F128" s="50" t="s">
        <v>286</v>
      </c>
      <c r="G128" s="50" t="s">
        <v>74</v>
      </c>
      <c r="H128" s="50" t="s">
        <v>365</v>
      </c>
      <c r="I128" s="50" t="s">
        <v>81</v>
      </c>
      <c r="J128" s="50" t="s">
        <v>286</v>
      </c>
      <c r="K128" s="50" t="s">
        <v>287</v>
      </c>
      <c r="L128" s="50" t="s">
        <v>379</v>
      </c>
      <c r="M128" s="50" t="s">
        <v>370</v>
      </c>
      <c r="N128" s="111">
        <v>5</v>
      </c>
      <c r="O128" s="111">
        <v>5</v>
      </c>
      <c r="P128" s="111">
        <v>5</v>
      </c>
      <c r="Q128" s="111">
        <v>5</v>
      </c>
      <c r="R128" s="111">
        <v>6</v>
      </c>
      <c r="S128" s="111">
        <v>6</v>
      </c>
      <c r="T128" s="111">
        <v>5</v>
      </c>
      <c r="U128" s="111">
        <v>5</v>
      </c>
      <c r="V128" s="111">
        <v>6</v>
      </c>
      <c r="W128" s="111">
        <v>6</v>
      </c>
      <c r="X128" s="111">
        <v>6</v>
      </c>
      <c r="Y128" s="111">
        <v>6</v>
      </c>
      <c r="Z128" s="111">
        <v>6</v>
      </c>
      <c r="AA128" s="111">
        <v>6</v>
      </c>
      <c r="AB128" s="111">
        <v>6</v>
      </c>
      <c r="AC128" s="111">
        <v>5</v>
      </c>
      <c r="AD128" s="111">
        <v>5</v>
      </c>
      <c r="AE128" s="111">
        <v>5</v>
      </c>
      <c r="AF128" s="111">
        <v>5</v>
      </c>
      <c r="AG128" s="111">
        <v>5</v>
      </c>
      <c r="AH128" s="111">
        <v>5</v>
      </c>
      <c r="AI128" s="111">
        <v>5</v>
      </c>
      <c r="AJ128" s="111">
        <v>5</v>
      </c>
      <c r="AK128" s="111">
        <v>5</v>
      </c>
      <c r="AL128" s="111">
        <v>5</v>
      </c>
      <c r="AM128" s="111">
        <v>5</v>
      </c>
      <c r="AN128" s="111">
        <v>5</v>
      </c>
      <c r="AO128" s="111">
        <v>5</v>
      </c>
      <c r="AP128" s="111">
        <v>5</v>
      </c>
      <c r="AQ128" s="111">
        <v>6</v>
      </c>
      <c r="AR128" s="111">
        <v>5</v>
      </c>
      <c r="AS128" s="111">
        <v>5</v>
      </c>
      <c r="AT128" s="111">
        <v>5</v>
      </c>
      <c r="AU128" s="111">
        <v>5</v>
      </c>
      <c r="AV128" s="50" t="s">
        <v>202</v>
      </c>
      <c r="AW128" s="50" t="s">
        <v>201</v>
      </c>
      <c r="AX128" s="50" t="s">
        <v>201</v>
      </c>
      <c r="AY128" s="50" t="s">
        <v>199</v>
      </c>
      <c r="AZ128" s="50" t="s">
        <v>202</v>
      </c>
      <c r="BA128" s="50" t="s">
        <v>199</v>
      </c>
      <c r="BB128" s="50" t="s">
        <v>202</v>
      </c>
      <c r="BC128" s="50" t="s">
        <v>202</v>
      </c>
      <c r="BD128" s="50" t="s">
        <v>202</v>
      </c>
      <c r="BE128" s="50" t="s">
        <v>202</v>
      </c>
      <c r="BF128" s="50" t="s">
        <v>201</v>
      </c>
      <c r="BG128" s="50" t="s">
        <v>202</v>
      </c>
      <c r="BH128" s="50" t="s">
        <v>201</v>
      </c>
      <c r="BI128" s="50" t="s">
        <v>202</v>
      </c>
      <c r="BJ128" s="50" t="s">
        <v>202</v>
      </c>
      <c r="BK128" s="50" t="s">
        <v>202</v>
      </c>
      <c r="BL128" s="50" t="s">
        <v>202</v>
      </c>
      <c r="BM128" s="50" t="s">
        <v>436</v>
      </c>
      <c r="BN128" s="50" t="s">
        <v>479</v>
      </c>
      <c r="BO128" s="50" t="s">
        <v>91</v>
      </c>
      <c r="BP128" s="50" t="s">
        <v>286</v>
      </c>
      <c r="BQ128" s="50" t="s">
        <v>287</v>
      </c>
      <c r="BR128" s="50" t="s">
        <v>372</v>
      </c>
      <c r="BS128" s="111">
        <v>5</v>
      </c>
      <c r="BT128" s="50" t="s">
        <v>286</v>
      </c>
      <c r="BU128" s="50" t="s">
        <v>348</v>
      </c>
      <c r="BV128" s="50" t="s">
        <v>288</v>
      </c>
      <c r="BW128" s="50" t="s">
        <v>350</v>
      </c>
      <c r="BX128" s="50" t="s">
        <v>387</v>
      </c>
      <c r="BY128" s="50" t="s">
        <v>288</v>
      </c>
      <c r="BZ128" s="50" t="s">
        <v>287</v>
      </c>
      <c r="CA128" s="50"/>
      <c r="CB128" s="50" t="s">
        <v>287</v>
      </c>
      <c r="CC128" s="50" t="s">
        <v>287</v>
      </c>
      <c r="CD128" s="50" t="s">
        <v>287</v>
      </c>
      <c r="CE128" s="50"/>
      <c r="CF128" s="50" t="s">
        <v>287</v>
      </c>
      <c r="CG128" s="50" t="s">
        <v>287</v>
      </c>
      <c r="CH128" s="50" t="s">
        <v>486</v>
      </c>
      <c r="CI128" s="50" t="s">
        <v>287</v>
      </c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1:97" ht="36.75" customHeight="1" thickBot="1">
      <c r="A129" s="49">
        <v>46086.246331018519</v>
      </c>
      <c r="B129" s="50" t="s">
        <v>33</v>
      </c>
      <c r="C129" s="50" t="s">
        <v>45</v>
      </c>
      <c r="D129" s="50" t="s">
        <v>369</v>
      </c>
      <c r="E129" s="50" t="s">
        <v>285</v>
      </c>
      <c r="F129" s="50" t="s">
        <v>286</v>
      </c>
      <c r="G129" s="50" t="s">
        <v>73</v>
      </c>
      <c r="H129" s="50" t="s">
        <v>522</v>
      </c>
      <c r="I129" s="50" t="s">
        <v>295</v>
      </c>
      <c r="J129" s="50" t="s">
        <v>286</v>
      </c>
      <c r="K129" s="50" t="s">
        <v>287</v>
      </c>
      <c r="L129" s="50" t="s">
        <v>424</v>
      </c>
      <c r="M129" s="50" t="s">
        <v>311</v>
      </c>
      <c r="N129" s="111">
        <v>5</v>
      </c>
      <c r="O129" s="111">
        <v>5</v>
      </c>
      <c r="P129" s="111">
        <v>5</v>
      </c>
      <c r="Q129" s="111">
        <v>5</v>
      </c>
      <c r="R129" s="111">
        <v>5</v>
      </c>
      <c r="S129" s="111">
        <v>5</v>
      </c>
      <c r="T129" s="111">
        <v>5</v>
      </c>
      <c r="U129" s="111">
        <v>5</v>
      </c>
      <c r="V129" s="111">
        <v>5</v>
      </c>
      <c r="W129" s="111">
        <v>5</v>
      </c>
      <c r="X129" s="111">
        <v>5</v>
      </c>
      <c r="Y129" s="111">
        <v>5</v>
      </c>
      <c r="Z129" s="111">
        <v>5</v>
      </c>
      <c r="AA129" s="111">
        <v>5</v>
      </c>
      <c r="AB129" s="111">
        <v>5</v>
      </c>
      <c r="AC129" s="111">
        <v>5</v>
      </c>
      <c r="AD129" s="111">
        <v>5</v>
      </c>
      <c r="AE129" s="111">
        <v>5</v>
      </c>
      <c r="AF129" s="111">
        <v>5</v>
      </c>
      <c r="AG129" s="111">
        <v>5</v>
      </c>
      <c r="AH129" s="111">
        <v>5</v>
      </c>
      <c r="AI129" s="111">
        <v>5</v>
      </c>
      <c r="AJ129" s="111">
        <v>5</v>
      </c>
      <c r="AK129" s="111">
        <v>5</v>
      </c>
      <c r="AL129" s="111">
        <v>5</v>
      </c>
      <c r="AM129" s="111">
        <v>5</v>
      </c>
      <c r="AN129" s="111">
        <v>5</v>
      </c>
      <c r="AO129" s="111">
        <v>5</v>
      </c>
      <c r="AP129" s="111">
        <v>5</v>
      </c>
      <c r="AQ129" s="111">
        <v>5</v>
      </c>
      <c r="AR129" s="111">
        <v>5</v>
      </c>
      <c r="AS129" s="111">
        <v>5</v>
      </c>
      <c r="AT129" s="111">
        <v>5</v>
      </c>
      <c r="AU129" s="111">
        <v>5</v>
      </c>
      <c r="AV129" s="50" t="s">
        <v>199</v>
      </c>
      <c r="AW129" s="50" t="s">
        <v>199</v>
      </c>
      <c r="AX129" s="50" t="s">
        <v>199</v>
      </c>
      <c r="AY129" s="50" t="s">
        <v>200</v>
      </c>
      <c r="AZ129" s="50" t="s">
        <v>200</v>
      </c>
      <c r="BA129" s="50" t="s">
        <v>200</v>
      </c>
      <c r="BB129" s="50" t="s">
        <v>200</v>
      </c>
      <c r="BC129" s="50" t="s">
        <v>200</v>
      </c>
      <c r="BD129" s="50" t="s">
        <v>200</v>
      </c>
      <c r="BE129" s="50" t="s">
        <v>200</v>
      </c>
      <c r="BF129" s="50" t="s">
        <v>200</v>
      </c>
      <c r="BG129" s="50" t="s">
        <v>200</v>
      </c>
      <c r="BH129" s="50" t="s">
        <v>200</v>
      </c>
      <c r="BI129" s="50" t="s">
        <v>200</v>
      </c>
      <c r="BJ129" s="50" t="s">
        <v>200</v>
      </c>
      <c r="BK129" s="50" t="s">
        <v>200</v>
      </c>
      <c r="BL129" s="50" t="s">
        <v>200</v>
      </c>
      <c r="BM129" s="50" t="s">
        <v>436</v>
      </c>
      <c r="BN129" s="50" t="s">
        <v>318</v>
      </c>
      <c r="BO129" s="50" t="s">
        <v>91</v>
      </c>
      <c r="BP129" s="50" t="s">
        <v>286</v>
      </c>
      <c r="BQ129" s="50" t="s">
        <v>287</v>
      </c>
      <c r="BR129" s="50" t="s">
        <v>382</v>
      </c>
      <c r="BS129" s="111">
        <v>5</v>
      </c>
      <c r="BT129" s="50" t="s">
        <v>286</v>
      </c>
      <c r="BU129" s="50" t="s">
        <v>312</v>
      </c>
      <c r="BV129" s="50" t="s">
        <v>288</v>
      </c>
      <c r="BW129" s="50" t="s">
        <v>303</v>
      </c>
      <c r="BX129" s="50" t="s">
        <v>290</v>
      </c>
      <c r="BY129" s="50" t="s">
        <v>288</v>
      </c>
      <c r="BZ129" s="50" t="s">
        <v>287</v>
      </c>
      <c r="CA129" s="50"/>
      <c r="CB129" s="50" t="s">
        <v>287</v>
      </c>
      <c r="CC129" s="50" t="s">
        <v>287</v>
      </c>
      <c r="CD129" s="50" t="s">
        <v>287</v>
      </c>
      <c r="CE129" s="50"/>
      <c r="CF129" s="50" t="s">
        <v>287</v>
      </c>
      <c r="CG129" s="50" t="s">
        <v>287</v>
      </c>
      <c r="CH129" s="50" t="s">
        <v>486</v>
      </c>
      <c r="CI129" s="50" t="s">
        <v>287</v>
      </c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1:97" ht="36.75" customHeight="1" thickBot="1">
      <c r="A130" s="49">
        <v>46086.24800925926</v>
      </c>
      <c r="B130" s="50" t="s">
        <v>33</v>
      </c>
      <c r="C130" s="50" t="s">
        <v>45</v>
      </c>
      <c r="D130" s="50" t="s">
        <v>369</v>
      </c>
      <c r="E130" s="50" t="s">
        <v>53</v>
      </c>
      <c r="F130" s="50" t="s">
        <v>286</v>
      </c>
      <c r="G130" s="50" t="s">
        <v>73</v>
      </c>
      <c r="H130" s="50" t="s">
        <v>332</v>
      </c>
      <c r="I130" s="50" t="s">
        <v>295</v>
      </c>
      <c r="J130" s="50" t="s">
        <v>286</v>
      </c>
      <c r="K130" s="50" t="s">
        <v>287</v>
      </c>
      <c r="L130" s="50" t="s">
        <v>336</v>
      </c>
      <c r="M130" s="50" t="s">
        <v>311</v>
      </c>
      <c r="N130" s="111">
        <v>5</v>
      </c>
      <c r="O130" s="111">
        <v>5</v>
      </c>
      <c r="P130" s="111">
        <v>5</v>
      </c>
      <c r="Q130" s="111">
        <v>5</v>
      </c>
      <c r="R130" s="111">
        <v>5</v>
      </c>
      <c r="S130" s="111">
        <v>5</v>
      </c>
      <c r="T130" s="111">
        <v>5</v>
      </c>
      <c r="U130" s="111">
        <v>5</v>
      </c>
      <c r="V130" s="111">
        <v>5</v>
      </c>
      <c r="W130" s="111">
        <v>5</v>
      </c>
      <c r="X130" s="111">
        <v>5</v>
      </c>
      <c r="Y130" s="111">
        <v>5</v>
      </c>
      <c r="Z130" s="111">
        <v>5</v>
      </c>
      <c r="AA130" s="111">
        <v>5</v>
      </c>
      <c r="AB130" s="111">
        <v>5</v>
      </c>
      <c r="AC130" s="111">
        <v>5</v>
      </c>
      <c r="AD130" s="111">
        <v>5</v>
      </c>
      <c r="AE130" s="111">
        <v>5</v>
      </c>
      <c r="AF130" s="111">
        <v>5</v>
      </c>
      <c r="AG130" s="111">
        <v>5</v>
      </c>
      <c r="AH130" s="111">
        <v>5</v>
      </c>
      <c r="AI130" s="111">
        <v>5</v>
      </c>
      <c r="AJ130" s="111">
        <v>5</v>
      </c>
      <c r="AK130" s="111">
        <v>5</v>
      </c>
      <c r="AL130" s="111">
        <v>5</v>
      </c>
      <c r="AM130" s="111">
        <v>5</v>
      </c>
      <c r="AN130" s="111">
        <v>5</v>
      </c>
      <c r="AO130" s="111">
        <v>5</v>
      </c>
      <c r="AP130" s="111">
        <v>5</v>
      </c>
      <c r="AQ130" s="111">
        <v>5</v>
      </c>
      <c r="AR130" s="111">
        <v>5</v>
      </c>
      <c r="AS130" s="111">
        <v>5</v>
      </c>
      <c r="AT130" s="111">
        <v>5</v>
      </c>
      <c r="AU130" s="111">
        <v>5</v>
      </c>
      <c r="AV130" s="50" t="s">
        <v>199</v>
      </c>
      <c r="AW130" s="50" t="s">
        <v>199</v>
      </c>
      <c r="AX130" s="50" t="s">
        <v>199</v>
      </c>
      <c r="AY130" s="50" t="s">
        <v>200</v>
      </c>
      <c r="AZ130" s="50" t="s">
        <v>200</v>
      </c>
      <c r="BA130" s="50" t="s">
        <v>200</v>
      </c>
      <c r="BB130" s="50" t="s">
        <v>200</v>
      </c>
      <c r="BC130" s="50" t="s">
        <v>200</v>
      </c>
      <c r="BD130" s="50" t="s">
        <v>200</v>
      </c>
      <c r="BE130" s="50" t="s">
        <v>200</v>
      </c>
      <c r="BF130" s="50" t="s">
        <v>200</v>
      </c>
      <c r="BG130" s="50" t="s">
        <v>200</v>
      </c>
      <c r="BH130" s="50" t="s">
        <v>200</v>
      </c>
      <c r="BI130" s="50" t="s">
        <v>200</v>
      </c>
      <c r="BJ130" s="50" t="s">
        <v>200</v>
      </c>
      <c r="BK130" s="50" t="s">
        <v>200</v>
      </c>
      <c r="BL130" s="50" t="s">
        <v>200</v>
      </c>
      <c r="BM130" s="50" t="s">
        <v>436</v>
      </c>
      <c r="BN130" s="50" t="s">
        <v>318</v>
      </c>
      <c r="BO130" s="50" t="s">
        <v>91</v>
      </c>
      <c r="BP130" s="50" t="s">
        <v>286</v>
      </c>
      <c r="BQ130" s="50" t="s">
        <v>287</v>
      </c>
      <c r="BR130" s="50" t="s">
        <v>403</v>
      </c>
      <c r="BS130" s="111">
        <v>5</v>
      </c>
      <c r="BT130" s="50" t="s">
        <v>510</v>
      </c>
      <c r="BU130" s="50" t="s">
        <v>312</v>
      </c>
      <c r="BV130" s="50" t="s">
        <v>288</v>
      </c>
      <c r="BW130" s="50" t="s">
        <v>289</v>
      </c>
      <c r="BX130" s="50" t="s">
        <v>290</v>
      </c>
      <c r="BY130" s="50" t="s">
        <v>288</v>
      </c>
      <c r="BZ130" s="50" t="s">
        <v>287</v>
      </c>
      <c r="CA130" s="50"/>
      <c r="CB130" s="50" t="s">
        <v>287</v>
      </c>
      <c r="CC130" s="50" t="s">
        <v>287</v>
      </c>
      <c r="CD130" s="50" t="s">
        <v>287</v>
      </c>
      <c r="CE130" s="50"/>
      <c r="CF130" s="50" t="s">
        <v>287</v>
      </c>
      <c r="CG130" s="50" t="s">
        <v>287</v>
      </c>
      <c r="CH130" s="50" t="s">
        <v>486</v>
      </c>
      <c r="CI130" s="50" t="s">
        <v>287</v>
      </c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1:97" ht="36.75" customHeight="1" thickBot="1">
      <c r="A131" s="49">
        <v>46086.249710648146</v>
      </c>
      <c r="B131" s="50" t="s">
        <v>34</v>
      </c>
      <c r="C131" s="50" t="s">
        <v>45</v>
      </c>
      <c r="D131" s="50" t="s">
        <v>369</v>
      </c>
      <c r="E131" s="50" t="s">
        <v>61</v>
      </c>
      <c r="F131" s="50" t="s">
        <v>286</v>
      </c>
      <c r="G131" s="50" t="s">
        <v>292</v>
      </c>
      <c r="H131" s="50" t="s">
        <v>339</v>
      </c>
      <c r="I131" s="50" t="s">
        <v>295</v>
      </c>
      <c r="J131" s="50" t="s">
        <v>286</v>
      </c>
      <c r="K131" s="50" t="s">
        <v>287</v>
      </c>
      <c r="L131" s="50" t="s">
        <v>310</v>
      </c>
      <c r="M131" s="50" t="s">
        <v>311</v>
      </c>
      <c r="N131" s="111">
        <v>5</v>
      </c>
      <c r="O131" s="111">
        <v>5</v>
      </c>
      <c r="P131" s="111">
        <v>5</v>
      </c>
      <c r="Q131" s="111">
        <v>5</v>
      </c>
      <c r="R131" s="111">
        <v>5</v>
      </c>
      <c r="S131" s="111">
        <v>5</v>
      </c>
      <c r="T131" s="111">
        <v>5</v>
      </c>
      <c r="U131" s="111">
        <v>5</v>
      </c>
      <c r="V131" s="111">
        <v>5</v>
      </c>
      <c r="W131" s="111">
        <v>5</v>
      </c>
      <c r="X131" s="111">
        <v>5</v>
      </c>
      <c r="Y131" s="111">
        <v>5</v>
      </c>
      <c r="Z131" s="111">
        <v>5</v>
      </c>
      <c r="AA131" s="111">
        <v>5</v>
      </c>
      <c r="AB131" s="111">
        <v>5</v>
      </c>
      <c r="AC131" s="111">
        <v>5</v>
      </c>
      <c r="AD131" s="111">
        <v>5</v>
      </c>
      <c r="AE131" s="111">
        <v>5</v>
      </c>
      <c r="AF131" s="111">
        <v>5</v>
      </c>
      <c r="AG131" s="111">
        <v>5</v>
      </c>
      <c r="AH131" s="111">
        <v>5</v>
      </c>
      <c r="AI131" s="111">
        <v>5</v>
      </c>
      <c r="AJ131" s="111">
        <v>5</v>
      </c>
      <c r="AK131" s="111">
        <v>5</v>
      </c>
      <c r="AL131" s="111">
        <v>5</v>
      </c>
      <c r="AM131" s="111">
        <v>5</v>
      </c>
      <c r="AN131" s="111">
        <v>5</v>
      </c>
      <c r="AO131" s="111">
        <v>5</v>
      </c>
      <c r="AP131" s="111">
        <v>5</v>
      </c>
      <c r="AQ131" s="111">
        <v>5</v>
      </c>
      <c r="AR131" s="111">
        <v>5</v>
      </c>
      <c r="AS131" s="111">
        <v>5</v>
      </c>
      <c r="AT131" s="111">
        <v>5</v>
      </c>
      <c r="AU131" s="111">
        <v>5</v>
      </c>
      <c r="AV131" s="50" t="s">
        <v>199</v>
      </c>
      <c r="AW131" s="50" t="s">
        <v>199</v>
      </c>
      <c r="AX131" s="50" t="s">
        <v>199</v>
      </c>
      <c r="AY131" s="50" t="s">
        <v>200</v>
      </c>
      <c r="AZ131" s="50" t="s">
        <v>200</v>
      </c>
      <c r="BA131" s="50" t="s">
        <v>200</v>
      </c>
      <c r="BB131" s="50" t="s">
        <v>200</v>
      </c>
      <c r="BC131" s="50" t="s">
        <v>200</v>
      </c>
      <c r="BD131" s="50" t="s">
        <v>200</v>
      </c>
      <c r="BE131" s="50" t="s">
        <v>200</v>
      </c>
      <c r="BF131" s="50" t="s">
        <v>200</v>
      </c>
      <c r="BG131" s="50" t="s">
        <v>200</v>
      </c>
      <c r="BH131" s="50" t="s">
        <v>200</v>
      </c>
      <c r="BI131" s="50" t="s">
        <v>200</v>
      </c>
      <c r="BJ131" s="50" t="s">
        <v>200</v>
      </c>
      <c r="BK131" s="50" t="s">
        <v>200</v>
      </c>
      <c r="BL131" s="50" t="s">
        <v>200</v>
      </c>
      <c r="BM131" s="50" t="s">
        <v>436</v>
      </c>
      <c r="BN131" s="50" t="s">
        <v>318</v>
      </c>
      <c r="BO131" s="50" t="s">
        <v>91</v>
      </c>
      <c r="BP131" s="50"/>
      <c r="BQ131" s="50" t="s">
        <v>287</v>
      </c>
      <c r="BR131" s="50" t="s">
        <v>373</v>
      </c>
      <c r="BS131" s="111">
        <v>5</v>
      </c>
      <c r="BT131" s="50" t="s">
        <v>286</v>
      </c>
      <c r="BU131" s="50" t="s">
        <v>312</v>
      </c>
      <c r="BV131" s="50" t="s">
        <v>288</v>
      </c>
      <c r="BW131" s="50" t="s">
        <v>297</v>
      </c>
      <c r="BX131" s="50" t="s">
        <v>290</v>
      </c>
      <c r="BY131" s="50" t="s">
        <v>288</v>
      </c>
      <c r="BZ131" s="50" t="s">
        <v>287</v>
      </c>
      <c r="CA131" s="50"/>
      <c r="CB131" s="50" t="s">
        <v>287</v>
      </c>
      <c r="CC131" s="50" t="s">
        <v>287</v>
      </c>
      <c r="CD131" s="50" t="s">
        <v>287</v>
      </c>
      <c r="CE131" s="50"/>
      <c r="CF131" s="50" t="s">
        <v>287</v>
      </c>
      <c r="CG131" s="50" t="s">
        <v>287</v>
      </c>
      <c r="CH131" s="50" t="s">
        <v>486</v>
      </c>
      <c r="CI131" s="50" t="s">
        <v>287</v>
      </c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1:97" ht="36.75" customHeight="1" thickBot="1">
      <c r="A132" s="49">
        <v>46086.253518518519</v>
      </c>
      <c r="B132" s="50" t="s">
        <v>40</v>
      </c>
      <c r="C132" s="50" t="s">
        <v>45</v>
      </c>
      <c r="D132" s="50" t="s">
        <v>374</v>
      </c>
      <c r="E132" s="50" t="s">
        <v>61</v>
      </c>
      <c r="F132" s="50" t="s">
        <v>286</v>
      </c>
      <c r="G132" s="50" t="s">
        <v>292</v>
      </c>
      <c r="H132" s="50" t="s">
        <v>367</v>
      </c>
      <c r="I132" s="50" t="s">
        <v>81</v>
      </c>
      <c r="J132" s="50" t="s">
        <v>286</v>
      </c>
      <c r="K132" s="50" t="s">
        <v>287</v>
      </c>
      <c r="L132" s="50" t="s">
        <v>315</v>
      </c>
      <c r="M132" s="50" t="s">
        <v>311</v>
      </c>
      <c r="N132" s="111">
        <v>5</v>
      </c>
      <c r="O132" s="111">
        <v>5</v>
      </c>
      <c r="P132" s="111">
        <v>5</v>
      </c>
      <c r="Q132" s="111">
        <v>5</v>
      </c>
      <c r="R132" s="111">
        <v>5</v>
      </c>
      <c r="S132" s="111">
        <v>5</v>
      </c>
      <c r="T132" s="111">
        <v>5</v>
      </c>
      <c r="U132" s="111">
        <v>5</v>
      </c>
      <c r="V132" s="111">
        <v>5</v>
      </c>
      <c r="W132" s="111">
        <v>5</v>
      </c>
      <c r="X132" s="111">
        <v>5</v>
      </c>
      <c r="Y132" s="111">
        <v>5</v>
      </c>
      <c r="Z132" s="111">
        <v>5</v>
      </c>
      <c r="AA132" s="111">
        <v>5</v>
      </c>
      <c r="AB132" s="111">
        <v>5</v>
      </c>
      <c r="AC132" s="111">
        <v>5</v>
      </c>
      <c r="AD132" s="111">
        <v>5</v>
      </c>
      <c r="AE132" s="111">
        <v>5</v>
      </c>
      <c r="AF132" s="111">
        <v>5</v>
      </c>
      <c r="AG132" s="111">
        <v>5</v>
      </c>
      <c r="AH132" s="111">
        <v>5</v>
      </c>
      <c r="AI132" s="111">
        <v>5</v>
      </c>
      <c r="AJ132" s="111">
        <v>5</v>
      </c>
      <c r="AK132" s="111">
        <v>5</v>
      </c>
      <c r="AL132" s="111">
        <v>5</v>
      </c>
      <c r="AM132" s="111">
        <v>5</v>
      </c>
      <c r="AN132" s="111">
        <v>5</v>
      </c>
      <c r="AO132" s="111">
        <v>5</v>
      </c>
      <c r="AP132" s="111">
        <v>5</v>
      </c>
      <c r="AQ132" s="111">
        <v>5</v>
      </c>
      <c r="AR132" s="111">
        <v>5</v>
      </c>
      <c r="AS132" s="111">
        <v>5</v>
      </c>
      <c r="AT132" s="111">
        <v>5</v>
      </c>
      <c r="AU132" s="111">
        <v>5</v>
      </c>
      <c r="AV132" s="50" t="s">
        <v>199</v>
      </c>
      <c r="AW132" s="50" t="s">
        <v>199</v>
      </c>
      <c r="AX132" s="50" t="s">
        <v>199</v>
      </c>
      <c r="AY132" s="50" t="s">
        <v>200</v>
      </c>
      <c r="AZ132" s="50" t="s">
        <v>200</v>
      </c>
      <c r="BA132" s="50" t="s">
        <v>200</v>
      </c>
      <c r="BB132" s="50" t="s">
        <v>200</v>
      </c>
      <c r="BC132" s="50" t="s">
        <v>200</v>
      </c>
      <c r="BD132" s="50" t="s">
        <v>200</v>
      </c>
      <c r="BE132" s="50" t="s">
        <v>200</v>
      </c>
      <c r="BF132" s="50" t="s">
        <v>200</v>
      </c>
      <c r="BG132" s="50" t="s">
        <v>200</v>
      </c>
      <c r="BH132" s="50" t="s">
        <v>200</v>
      </c>
      <c r="BI132" s="50" t="s">
        <v>200</v>
      </c>
      <c r="BJ132" s="50" t="s">
        <v>200</v>
      </c>
      <c r="BK132" s="50" t="s">
        <v>200</v>
      </c>
      <c r="BL132" s="50" t="s">
        <v>200</v>
      </c>
      <c r="BM132" s="50" t="s">
        <v>436</v>
      </c>
      <c r="BN132" s="50" t="s">
        <v>318</v>
      </c>
      <c r="BO132" s="50" t="s">
        <v>465</v>
      </c>
      <c r="BP132" s="50" t="s">
        <v>286</v>
      </c>
      <c r="BQ132" s="50" t="s">
        <v>287</v>
      </c>
      <c r="BR132" s="50" t="s">
        <v>403</v>
      </c>
      <c r="BS132" s="111">
        <v>5</v>
      </c>
      <c r="BT132" s="50" t="s">
        <v>286</v>
      </c>
      <c r="BU132" s="50" t="s">
        <v>312</v>
      </c>
      <c r="BV132" s="50" t="s">
        <v>288</v>
      </c>
      <c r="BW132" s="50" t="s">
        <v>297</v>
      </c>
      <c r="BX132" s="50" t="s">
        <v>296</v>
      </c>
      <c r="BY132" s="50" t="s">
        <v>288</v>
      </c>
      <c r="BZ132" s="50" t="s">
        <v>287</v>
      </c>
      <c r="CA132" s="50"/>
      <c r="CB132" s="50" t="s">
        <v>287</v>
      </c>
      <c r="CC132" s="50" t="s">
        <v>287</v>
      </c>
      <c r="CD132" s="50" t="s">
        <v>287</v>
      </c>
      <c r="CE132" s="50"/>
      <c r="CF132" s="50" t="s">
        <v>287</v>
      </c>
      <c r="CG132" s="50" t="s">
        <v>287</v>
      </c>
      <c r="CH132" s="50" t="s">
        <v>486</v>
      </c>
      <c r="CI132" s="50" t="s">
        <v>287</v>
      </c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1:97" ht="36.75" customHeight="1" thickBot="1">
      <c r="A133" s="49">
        <v>46086.256851851853</v>
      </c>
      <c r="B133" s="50" t="s">
        <v>40</v>
      </c>
      <c r="C133" s="50" t="s">
        <v>45</v>
      </c>
      <c r="D133" s="50" t="s">
        <v>374</v>
      </c>
      <c r="E133" s="50" t="s">
        <v>61</v>
      </c>
      <c r="F133" s="50"/>
      <c r="G133" s="50" t="s">
        <v>73</v>
      </c>
      <c r="H133" s="50" t="s">
        <v>419</v>
      </c>
      <c r="I133" s="50" t="s">
        <v>81</v>
      </c>
      <c r="J133" s="50" t="s">
        <v>286</v>
      </c>
      <c r="K133" s="50" t="s">
        <v>287</v>
      </c>
      <c r="L133" s="50" t="s">
        <v>336</v>
      </c>
      <c r="M133" s="50" t="s">
        <v>311</v>
      </c>
      <c r="N133" s="111">
        <v>5</v>
      </c>
      <c r="O133" s="111">
        <v>5</v>
      </c>
      <c r="P133" s="111">
        <v>5</v>
      </c>
      <c r="Q133" s="111">
        <v>5</v>
      </c>
      <c r="R133" s="111">
        <v>5</v>
      </c>
      <c r="S133" s="111">
        <v>5</v>
      </c>
      <c r="T133" s="111">
        <v>5</v>
      </c>
      <c r="U133" s="111">
        <v>5</v>
      </c>
      <c r="V133" s="111">
        <v>5</v>
      </c>
      <c r="W133" s="111">
        <v>5</v>
      </c>
      <c r="X133" s="111">
        <v>5</v>
      </c>
      <c r="Y133" s="111">
        <v>5</v>
      </c>
      <c r="Z133" s="111">
        <v>5</v>
      </c>
      <c r="AA133" s="111">
        <v>5</v>
      </c>
      <c r="AB133" s="111">
        <v>5</v>
      </c>
      <c r="AC133" s="111">
        <v>5</v>
      </c>
      <c r="AD133" s="111">
        <v>5</v>
      </c>
      <c r="AE133" s="111">
        <v>5</v>
      </c>
      <c r="AF133" s="111">
        <v>5</v>
      </c>
      <c r="AG133" s="111">
        <v>5</v>
      </c>
      <c r="AH133" s="111">
        <v>5</v>
      </c>
      <c r="AI133" s="111">
        <v>5</v>
      </c>
      <c r="AJ133" s="111">
        <v>5</v>
      </c>
      <c r="AK133" s="111">
        <v>5</v>
      </c>
      <c r="AL133" s="111">
        <v>5</v>
      </c>
      <c r="AM133" s="111">
        <v>5</v>
      </c>
      <c r="AN133" s="111">
        <v>5</v>
      </c>
      <c r="AO133" s="111">
        <v>5</v>
      </c>
      <c r="AP133" s="111">
        <v>5</v>
      </c>
      <c r="AQ133" s="111">
        <v>5</v>
      </c>
      <c r="AR133" s="111">
        <v>5</v>
      </c>
      <c r="AS133" s="111">
        <v>5</v>
      </c>
      <c r="AT133" s="111">
        <v>5</v>
      </c>
      <c r="AU133" s="111">
        <v>5</v>
      </c>
      <c r="AV133" s="50" t="s">
        <v>199</v>
      </c>
      <c r="AW133" s="50" t="s">
        <v>199</v>
      </c>
      <c r="AX133" s="50" t="s">
        <v>199</v>
      </c>
      <c r="AY133" s="50" t="s">
        <v>200</v>
      </c>
      <c r="AZ133" s="50" t="s">
        <v>200</v>
      </c>
      <c r="BA133" s="50" t="s">
        <v>200</v>
      </c>
      <c r="BB133" s="50" t="s">
        <v>200</v>
      </c>
      <c r="BC133" s="50" t="s">
        <v>200</v>
      </c>
      <c r="BD133" s="50" t="s">
        <v>200</v>
      </c>
      <c r="BE133" s="50" t="s">
        <v>200</v>
      </c>
      <c r="BF133" s="50" t="s">
        <v>200</v>
      </c>
      <c r="BG133" s="50" t="s">
        <v>200</v>
      </c>
      <c r="BH133" s="50" t="s">
        <v>200</v>
      </c>
      <c r="BI133" s="50" t="s">
        <v>200</v>
      </c>
      <c r="BJ133" s="50" t="s">
        <v>200</v>
      </c>
      <c r="BK133" s="50" t="s">
        <v>200</v>
      </c>
      <c r="BL133" s="50" t="s">
        <v>200</v>
      </c>
      <c r="BM133" s="50" t="s">
        <v>436</v>
      </c>
      <c r="BN133" s="50" t="s">
        <v>318</v>
      </c>
      <c r="BO133" s="50" t="s">
        <v>91</v>
      </c>
      <c r="BP133" s="50" t="s">
        <v>286</v>
      </c>
      <c r="BQ133" s="50" t="s">
        <v>287</v>
      </c>
      <c r="BR133" s="50" t="s">
        <v>406</v>
      </c>
      <c r="BS133" s="111">
        <v>5</v>
      </c>
      <c r="BT133" s="50" t="s">
        <v>286</v>
      </c>
      <c r="BU133" s="50" t="s">
        <v>312</v>
      </c>
      <c r="BV133" s="50" t="s">
        <v>288</v>
      </c>
      <c r="BW133" s="50" t="s">
        <v>289</v>
      </c>
      <c r="BX133" s="50" t="s">
        <v>300</v>
      </c>
      <c r="BY133" s="50" t="s">
        <v>288</v>
      </c>
      <c r="BZ133" s="50" t="s">
        <v>287</v>
      </c>
      <c r="CA133" s="50"/>
      <c r="CB133" s="50" t="s">
        <v>287</v>
      </c>
      <c r="CC133" s="50" t="s">
        <v>287</v>
      </c>
      <c r="CD133" s="50" t="s">
        <v>287</v>
      </c>
      <c r="CE133" s="50"/>
      <c r="CF133" s="50" t="s">
        <v>287</v>
      </c>
      <c r="CG133" s="50" t="s">
        <v>287</v>
      </c>
      <c r="CH133" s="50" t="s">
        <v>486</v>
      </c>
      <c r="CI133" s="50" t="s">
        <v>287</v>
      </c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1:97" ht="36.75" customHeight="1" thickBot="1">
      <c r="A134" s="49">
        <v>46086.258796296293</v>
      </c>
      <c r="B134" s="50" t="s">
        <v>34</v>
      </c>
      <c r="C134" s="50" t="s">
        <v>46</v>
      </c>
      <c r="D134" s="50" t="s">
        <v>369</v>
      </c>
      <c r="E134" s="50" t="s">
        <v>53</v>
      </c>
      <c r="F134" s="50" t="s">
        <v>286</v>
      </c>
      <c r="G134" s="50" t="s">
        <v>74</v>
      </c>
      <c r="H134" s="50" t="s">
        <v>523</v>
      </c>
      <c r="I134" s="50" t="s">
        <v>92</v>
      </c>
      <c r="J134" s="50" t="s">
        <v>286</v>
      </c>
      <c r="K134" s="50" t="s">
        <v>287</v>
      </c>
      <c r="L134" s="50" t="s">
        <v>524</v>
      </c>
      <c r="M134" s="50" t="s">
        <v>316</v>
      </c>
      <c r="N134" s="111">
        <v>5</v>
      </c>
      <c r="O134" s="111">
        <v>5</v>
      </c>
      <c r="P134" s="111">
        <v>5</v>
      </c>
      <c r="Q134" s="111">
        <v>5</v>
      </c>
      <c r="R134" s="111">
        <v>5</v>
      </c>
      <c r="S134" s="111">
        <v>5</v>
      </c>
      <c r="T134" s="111">
        <v>5</v>
      </c>
      <c r="U134" s="111">
        <v>5</v>
      </c>
      <c r="V134" s="111">
        <v>5</v>
      </c>
      <c r="W134" s="111">
        <v>5</v>
      </c>
      <c r="X134" s="111">
        <v>5</v>
      </c>
      <c r="Y134" s="111">
        <v>5</v>
      </c>
      <c r="Z134" s="111">
        <v>5</v>
      </c>
      <c r="AA134" s="111">
        <v>5</v>
      </c>
      <c r="AB134" s="111">
        <v>5</v>
      </c>
      <c r="AC134" s="111">
        <v>5</v>
      </c>
      <c r="AD134" s="111">
        <v>5</v>
      </c>
      <c r="AE134" s="111">
        <v>5</v>
      </c>
      <c r="AF134" s="111">
        <v>5</v>
      </c>
      <c r="AG134" s="111">
        <v>5</v>
      </c>
      <c r="AH134" s="111">
        <v>5</v>
      </c>
      <c r="AI134" s="111">
        <v>5</v>
      </c>
      <c r="AJ134" s="111">
        <v>5</v>
      </c>
      <c r="AK134" s="111">
        <v>5</v>
      </c>
      <c r="AL134" s="111">
        <v>5</v>
      </c>
      <c r="AM134" s="111">
        <v>5</v>
      </c>
      <c r="AN134" s="111">
        <v>5</v>
      </c>
      <c r="AO134" s="111">
        <v>5</v>
      </c>
      <c r="AP134" s="111">
        <v>5</v>
      </c>
      <c r="AQ134" s="111">
        <v>5</v>
      </c>
      <c r="AR134" s="111">
        <v>5</v>
      </c>
      <c r="AS134" s="111">
        <v>5</v>
      </c>
      <c r="AT134" s="111">
        <v>5</v>
      </c>
      <c r="AU134" s="111">
        <v>5</v>
      </c>
      <c r="AV134" s="50" t="s">
        <v>199</v>
      </c>
      <c r="AW134" s="50" t="s">
        <v>199</v>
      </c>
      <c r="AX134" s="50" t="s">
        <v>199</v>
      </c>
      <c r="AY134" s="50" t="s">
        <v>200</v>
      </c>
      <c r="AZ134" s="50" t="s">
        <v>200</v>
      </c>
      <c r="BA134" s="50" t="s">
        <v>200</v>
      </c>
      <c r="BB134" s="50" t="s">
        <v>200</v>
      </c>
      <c r="BC134" s="50" t="s">
        <v>200</v>
      </c>
      <c r="BD134" s="50" t="s">
        <v>200</v>
      </c>
      <c r="BE134" s="50" t="s">
        <v>200</v>
      </c>
      <c r="BF134" s="50" t="s">
        <v>200</v>
      </c>
      <c r="BG134" s="50" t="s">
        <v>200</v>
      </c>
      <c r="BH134" s="50" t="s">
        <v>200</v>
      </c>
      <c r="BI134" s="50" t="s">
        <v>200</v>
      </c>
      <c r="BJ134" s="50" t="s">
        <v>200</v>
      </c>
      <c r="BK134" s="50" t="s">
        <v>200</v>
      </c>
      <c r="BL134" s="50" t="s">
        <v>200</v>
      </c>
      <c r="BM134" s="50" t="s">
        <v>436</v>
      </c>
      <c r="BN134" s="50" t="s">
        <v>318</v>
      </c>
      <c r="BO134" s="50" t="s">
        <v>91</v>
      </c>
      <c r="BP134" s="50" t="s">
        <v>286</v>
      </c>
      <c r="BQ134" s="50" t="s">
        <v>287</v>
      </c>
      <c r="BR134" s="50" t="s">
        <v>404</v>
      </c>
      <c r="BS134" s="111">
        <v>5</v>
      </c>
      <c r="BT134" s="50" t="s">
        <v>286</v>
      </c>
      <c r="BU134" s="50" t="s">
        <v>312</v>
      </c>
      <c r="BV134" s="50" t="s">
        <v>288</v>
      </c>
      <c r="BW134" s="50" t="s">
        <v>304</v>
      </c>
      <c r="BX134" s="50" t="s">
        <v>300</v>
      </c>
      <c r="BY134" s="50" t="s">
        <v>288</v>
      </c>
      <c r="BZ134" s="50" t="s">
        <v>287</v>
      </c>
      <c r="CA134" s="50"/>
      <c r="CB134" s="50" t="s">
        <v>287</v>
      </c>
      <c r="CC134" s="50" t="s">
        <v>287</v>
      </c>
      <c r="CD134" s="50" t="s">
        <v>287</v>
      </c>
      <c r="CE134" s="50"/>
      <c r="CF134" s="50" t="s">
        <v>287</v>
      </c>
      <c r="CG134" s="50" t="s">
        <v>287</v>
      </c>
      <c r="CH134" s="50" t="s">
        <v>486</v>
      </c>
      <c r="CI134" s="50" t="s">
        <v>287</v>
      </c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1:97" ht="36.75" customHeight="1" thickBot="1">
      <c r="A135" s="49">
        <v>46086.261053240742</v>
      </c>
      <c r="B135" s="50" t="s">
        <v>40</v>
      </c>
      <c r="C135" s="50" t="s">
        <v>46</v>
      </c>
      <c r="D135" s="50" t="s">
        <v>369</v>
      </c>
      <c r="E135" s="50" t="s">
        <v>61</v>
      </c>
      <c r="F135" s="50" t="s">
        <v>286</v>
      </c>
      <c r="G135" s="50" t="s">
        <v>73</v>
      </c>
      <c r="H135" s="50" t="s">
        <v>307</v>
      </c>
      <c r="I135" s="50" t="s">
        <v>81</v>
      </c>
      <c r="J135" s="50" t="s">
        <v>286</v>
      </c>
      <c r="K135" s="50" t="s">
        <v>287</v>
      </c>
      <c r="L135" s="50" t="s">
        <v>525</v>
      </c>
      <c r="M135" s="50" t="s">
        <v>316</v>
      </c>
      <c r="N135" s="111">
        <v>5</v>
      </c>
      <c r="O135" s="111">
        <v>5</v>
      </c>
      <c r="P135" s="111">
        <v>5</v>
      </c>
      <c r="Q135" s="111">
        <v>5</v>
      </c>
      <c r="R135" s="111">
        <v>5</v>
      </c>
      <c r="S135" s="111">
        <v>5</v>
      </c>
      <c r="T135" s="111">
        <v>5</v>
      </c>
      <c r="U135" s="111">
        <v>5</v>
      </c>
      <c r="V135" s="111">
        <v>5</v>
      </c>
      <c r="W135" s="111">
        <v>5</v>
      </c>
      <c r="X135" s="111">
        <v>5</v>
      </c>
      <c r="Y135" s="111">
        <v>5</v>
      </c>
      <c r="Z135" s="111">
        <v>5</v>
      </c>
      <c r="AA135" s="111">
        <v>5</v>
      </c>
      <c r="AB135" s="111">
        <v>5</v>
      </c>
      <c r="AC135" s="111">
        <v>5</v>
      </c>
      <c r="AD135" s="111">
        <v>5</v>
      </c>
      <c r="AE135" s="111">
        <v>5</v>
      </c>
      <c r="AF135" s="111">
        <v>5</v>
      </c>
      <c r="AG135" s="111">
        <v>5</v>
      </c>
      <c r="AH135" s="111">
        <v>5</v>
      </c>
      <c r="AI135" s="111">
        <v>5</v>
      </c>
      <c r="AJ135" s="111">
        <v>5</v>
      </c>
      <c r="AK135" s="111">
        <v>5</v>
      </c>
      <c r="AL135" s="111">
        <v>5</v>
      </c>
      <c r="AM135" s="111">
        <v>5</v>
      </c>
      <c r="AN135" s="111">
        <v>5</v>
      </c>
      <c r="AO135" s="111">
        <v>5</v>
      </c>
      <c r="AP135" s="111">
        <v>5</v>
      </c>
      <c r="AQ135" s="111">
        <v>5</v>
      </c>
      <c r="AR135" s="111">
        <v>5</v>
      </c>
      <c r="AS135" s="111">
        <v>5</v>
      </c>
      <c r="AT135" s="111">
        <v>5</v>
      </c>
      <c r="AU135" s="111">
        <v>5</v>
      </c>
      <c r="AV135" s="50" t="s">
        <v>199</v>
      </c>
      <c r="AW135" s="50" t="s">
        <v>199</v>
      </c>
      <c r="AX135" s="50" t="s">
        <v>199</v>
      </c>
      <c r="AY135" s="50" t="s">
        <v>200</v>
      </c>
      <c r="AZ135" s="50" t="s">
        <v>200</v>
      </c>
      <c r="BA135" s="50" t="s">
        <v>200</v>
      </c>
      <c r="BB135" s="50" t="s">
        <v>200</v>
      </c>
      <c r="BC135" s="50" t="s">
        <v>200</v>
      </c>
      <c r="BD135" s="50" t="s">
        <v>200</v>
      </c>
      <c r="BE135" s="50" t="s">
        <v>200</v>
      </c>
      <c r="BF135" s="50" t="s">
        <v>200</v>
      </c>
      <c r="BG135" s="50" t="s">
        <v>200</v>
      </c>
      <c r="BH135" s="50" t="s">
        <v>200</v>
      </c>
      <c r="BI135" s="50" t="s">
        <v>200</v>
      </c>
      <c r="BJ135" s="50" t="s">
        <v>200</v>
      </c>
      <c r="BK135" s="50" t="s">
        <v>200</v>
      </c>
      <c r="BL135" s="50" t="s">
        <v>200</v>
      </c>
      <c r="BM135" s="50" t="s">
        <v>436</v>
      </c>
      <c r="BN135" s="50" t="s">
        <v>318</v>
      </c>
      <c r="BO135" s="50" t="s">
        <v>91</v>
      </c>
      <c r="BP135" s="50"/>
      <c r="BQ135" s="50" t="s">
        <v>287</v>
      </c>
      <c r="BR135" s="50" t="s">
        <v>373</v>
      </c>
      <c r="BS135" s="111">
        <v>5</v>
      </c>
      <c r="BT135" s="50" t="s">
        <v>286</v>
      </c>
      <c r="BU135" s="50" t="s">
        <v>312</v>
      </c>
      <c r="BV135" s="50" t="s">
        <v>288</v>
      </c>
      <c r="BW135" s="50" t="s">
        <v>304</v>
      </c>
      <c r="BX135" s="50" t="s">
        <v>300</v>
      </c>
      <c r="BY135" s="50" t="s">
        <v>288</v>
      </c>
      <c r="BZ135" s="50" t="s">
        <v>287</v>
      </c>
      <c r="CA135" s="50"/>
      <c r="CB135" s="50" t="s">
        <v>287</v>
      </c>
      <c r="CC135" s="50" t="s">
        <v>287</v>
      </c>
      <c r="CD135" s="50" t="s">
        <v>287</v>
      </c>
      <c r="CE135" s="50"/>
      <c r="CF135" s="50" t="s">
        <v>287</v>
      </c>
      <c r="CG135" s="50" t="s">
        <v>287</v>
      </c>
      <c r="CH135" s="50" t="s">
        <v>486</v>
      </c>
      <c r="CI135" s="50" t="s">
        <v>287</v>
      </c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1:97" ht="36.75" customHeight="1" thickBot="1">
      <c r="A136" s="49">
        <v>46086.267013888886</v>
      </c>
      <c r="B136" s="50" t="s">
        <v>40</v>
      </c>
      <c r="C136" s="50" t="s">
        <v>45</v>
      </c>
      <c r="D136" s="50" t="s">
        <v>374</v>
      </c>
      <c r="E136" s="50" t="s">
        <v>61</v>
      </c>
      <c r="F136" s="50" t="s">
        <v>286</v>
      </c>
      <c r="G136" s="50" t="s">
        <v>73</v>
      </c>
      <c r="H136" s="50" t="s">
        <v>331</v>
      </c>
      <c r="I136" s="50" t="s">
        <v>81</v>
      </c>
      <c r="J136" s="50" t="s">
        <v>286</v>
      </c>
      <c r="K136" s="50" t="s">
        <v>287</v>
      </c>
      <c r="L136" s="50" t="s">
        <v>524</v>
      </c>
      <c r="M136" s="50" t="s">
        <v>316</v>
      </c>
      <c r="N136" s="111">
        <v>5</v>
      </c>
      <c r="O136" s="111">
        <v>5</v>
      </c>
      <c r="P136" s="111">
        <v>5</v>
      </c>
      <c r="Q136" s="111">
        <v>5</v>
      </c>
      <c r="R136" s="111">
        <v>5</v>
      </c>
      <c r="S136" s="111">
        <v>5</v>
      </c>
      <c r="T136" s="111">
        <v>5</v>
      </c>
      <c r="U136" s="111">
        <v>5</v>
      </c>
      <c r="V136" s="111">
        <v>5</v>
      </c>
      <c r="W136" s="111">
        <v>5</v>
      </c>
      <c r="X136" s="111">
        <v>5</v>
      </c>
      <c r="Y136" s="111">
        <v>5</v>
      </c>
      <c r="Z136" s="111">
        <v>5</v>
      </c>
      <c r="AA136" s="111">
        <v>5</v>
      </c>
      <c r="AB136" s="111">
        <v>5</v>
      </c>
      <c r="AC136" s="111">
        <v>5</v>
      </c>
      <c r="AD136" s="111">
        <v>5</v>
      </c>
      <c r="AE136" s="111">
        <v>5</v>
      </c>
      <c r="AF136" s="111">
        <v>5</v>
      </c>
      <c r="AG136" s="111">
        <v>5</v>
      </c>
      <c r="AH136" s="111">
        <v>5</v>
      </c>
      <c r="AI136" s="111">
        <v>5</v>
      </c>
      <c r="AJ136" s="111">
        <v>5</v>
      </c>
      <c r="AK136" s="111">
        <v>5</v>
      </c>
      <c r="AL136" s="111">
        <v>5</v>
      </c>
      <c r="AM136" s="111">
        <v>5</v>
      </c>
      <c r="AN136" s="111">
        <v>5</v>
      </c>
      <c r="AO136" s="111">
        <v>5</v>
      </c>
      <c r="AP136" s="111">
        <v>5</v>
      </c>
      <c r="AQ136" s="111">
        <v>5</v>
      </c>
      <c r="AR136" s="111">
        <v>5</v>
      </c>
      <c r="AS136" s="111">
        <v>5</v>
      </c>
      <c r="AT136" s="111">
        <v>5</v>
      </c>
      <c r="AU136" s="111">
        <v>5</v>
      </c>
      <c r="AV136" s="50" t="s">
        <v>199</v>
      </c>
      <c r="AW136" s="50" t="s">
        <v>199</v>
      </c>
      <c r="AX136" s="50" t="s">
        <v>199</v>
      </c>
      <c r="AY136" s="50" t="s">
        <v>200</v>
      </c>
      <c r="AZ136" s="50" t="s">
        <v>200</v>
      </c>
      <c r="BA136" s="50" t="s">
        <v>200</v>
      </c>
      <c r="BB136" s="50" t="s">
        <v>200</v>
      </c>
      <c r="BC136" s="50" t="s">
        <v>200</v>
      </c>
      <c r="BD136" s="50" t="s">
        <v>200</v>
      </c>
      <c r="BE136" s="50" t="s">
        <v>200</v>
      </c>
      <c r="BF136" s="50" t="s">
        <v>200</v>
      </c>
      <c r="BG136" s="50" t="s">
        <v>200</v>
      </c>
      <c r="BH136" s="50" t="s">
        <v>200</v>
      </c>
      <c r="BI136" s="50" t="s">
        <v>200</v>
      </c>
      <c r="BJ136" s="50" t="s">
        <v>200</v>
      </c>
      <c r="BK136" s="50" t="s">
        <v>200</v>
      </c>
      <c r="BL136" s="50" t="s">
        <v>200</v>
      </c>
      <c r="BM136" s="50" t="s">
        <v>436</v>
      </c>
      <c r="BN136" s="50" t="s">
        <v>318</v>
      </c>
      <c r="BO136" s="50" t="s">
        <v>91</v>
      </c>
      <c r="BP136" s="50" t="s">
        <v>286</v>
      </c>
      <c r="BQ136" s="50" t="s">
        <v>287</v>
      </c>
      <c r="BR136" s="50" t="s">
        <v>413</v>
      </c>
      <c r="BS136" s="111">
        <v>5</v>
      </c>
      <c r="BT136" s="50" t="s">
        <v>286</v>
      </c>
      <c r="BU136" s="50" t="s">
        <v>312</v>
      </c>
      <c r="BV136" s="50" t="s">
        <v>288</v>
      </c>
      <c r="BW136" s="50" t="s">
        <v>304</v>
      </c>
      <c r="BX136" s="50" t="s">
        <v>300</v>
      </c>
      <c r="BY136" s="50" t="s">
        <v>288</v>
      </c>
      <c r="BZ136" s="50" t="s">
        <v>287</v>
      </c>
      <c r="CA136" s="50"/>
      <c r="CB136" s="50" t="s">
        <v>287</v>
      </c>
      <c r="CC136" s="50" t="s">
        <v>287</v>
      </c>
      <c r="CD136" s="50" t="s">
        <v>287</v>
      </c>
      <c r="CE136" s="50"/>
      <c r="CF136" s="50" t="s">
        <v>287</v>
      </c>
      <c r="CG136" s="50" t="s">
        <v>287</v>
      </c>
      <c r="CH136" s="50" t="s">
        <v>486</v>
      </c>
      <c r="CI136" s="50" t="s">
        <v>287</v>
      </c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1:97" ht="36.75" customHeight="1" thickBot="1">
      <c r="A137" s="49">
        <v>46086.269918981481</v>
      </c>
      <c r="B137" s="50" t="s">
        <v>40</v>
      </c>
      <c r="C137" s="50" t="s">
        <v>45</v>
      </c>
      <c r="D137" s="50" t="s">
        <v>374</v>
      </c>
      <c r="E137" s="50" t="s">
        <v>61</v>
      </c>
      <c r="F137" s="50" t="s">
        <v>286</v>
      </c>
      <c r="G137" s="50" t="s">
        <v>73</v>
      </c>
      <c r="H137" s="50" t="s">
        <v>417</v>
      </c>
      <c r="I137" s="50" t="s">
        <v>81</v>
      </c>
      <c r="J137" s="50" t="s">
        <v>286</v>
      </c>
      <c r="K137" s="50" t="s">
        <v>287</v>
      </c>
      <c r="L137" s="50" t="s">
        <v>336</v>
      </c>
      <c r="M137" s="50" t="s">
        <v>316</v>
      </c>
      <c r="N137" s="111">
        <v>5</v>
      </c>
      <c r="O137" s="111">
        <v>5</v>
      </c>
      <c r="P137" s="111">
        <v>5</v>
      </c>
      <c r="Q137" s="111">
        <v>5</v>
      </c>
      <c r="R137" s="111">
        <v>5</v>
      </c>
      <c r="S137" s="111">
        <v>5</v>
      </c>
      <c r="T137" s="111">
        <v>5</v>
      </c>
      <c r="U137" s="111">
        <v>5</v>
      </c>
      <c r="V137" s="111">
        <v>5</v>
      </c>
      <c r="W137" s="111">
        <v>5</v>
      </c>
      <c r="X137" s="111">
        <v>5</v>
      </c>
      <c r="Y137" s="111">
        <v>5</v>
      </c>
      <c r="Z137" s="111">
        <v>5</v>
      </c>
      <c r="AA137" s="111">
        <v>5</v>
      </c>
      <c r="AB137" s="111">
        <v>5</v>
      </c>
      <c r="AC137" s="111">
        <v>5</v>
      </c>
      <c r="AD137" s="111">
        <v>5</v>
      </c>
      <c r="AE137" s="111">
        <v>5</v>
      </c>
      <c r="AF137" s="111">
        <v>5</v>
      </c>
      <c r="AG137" s="111">
        <v>5</v>
      </c>
      <c r="AH137" s="111">
        <v>5</v>
      </c>
      <c r="AI137" s="111">
        <v>5</v>
      </c>
      <c r="AJ137" s="111">
        <v>5</v>
      </c>
      <c r="AK137" s="111">
        <v>5</v>
      </c>
      <c r="AL137" s="111">
        <v>5</v>
      </c>
      <c r="AM137" s="111">
        <v>5</v>
      </c>
      <c r="AN137" s="111">
        <v>5</v>
      </c>
      <c r="AO137" s="111">
        <v>5</v>
      </c>
      <c r="AP137" s="111">
        <v>5</v>
      </c>
      <c r="AQ137" s="111">
        <v>5</v>
      </c>
      <c r="AR137" s="111">
        <v>5</v>
      </c>
      <c r="AS137" s="111">
        <v>5</v>
      </c>
      <c r="AT137" s="111">
        <v>5</v>
      </c>
      <c r="AU137" s="111">
        <v>5</v>
      </c>
      <c r="AV137" s="50" t="s">
        <v>199</v>
      </c>
      <c r="AW137" s="50" t="s">
        <v>199</v>
      </c>
      <c r="AX137" s="50" t="s">
        <v>199</v>
      </c>
      <c r="AY137" s="50" t="s">
        <v>200</v>
      </c>
      <c r="AZ137" s="50" t="s">
        <v>200</v>
      </c>
      <c r="BA137" s="50" t="s">
        <v>200</v>
      </c>
      <c r="BB137" s="50" t="s">
        <v>200</v>
      </c>
      <c r="BC137" s="50" t="s">
        <v>200</v>
      </c>
      <c r="BD137" s="50" t="s">
        <v>200</v>
      </c>
      <c r="BE137" s="50" t="s">
        <v>200</v>
      </c>
      <c r="BF137" s="50" t="s">
        <v>200</v>
      </c>
      <c r="BG137" s="50" t="s">
        <v>200</v>
      </c>
      <c r="BH137" s="50" t="s">
        <v>200</v>
      </c>
      <c r="BI137" s="50" t="s">
        <v>200</v>
      </c>
      <c r="BJ137" s="50" t="s">
        <v>200</v>
      </c>
      <c r="BK137" s="50" t="s">
        <v>200</v>
      </c>
      <c r="BL137" s="50" t="s">
        <v>200</v>
      </c>
      <c r="BM137" s="50" t="s">
        <v>436</v>
      </c>
      <c r="BN137" s="50" t="s">
        <v>318</v>
      </c>
      <c r="BO137" s="50" t="s">
        <v>91</v>
      </c>
      <c r="BP137" s="50" t="s">
        <v>286</v>
      </c>
      <c r="BQ137" s="50" t="s">
        <v>287</v>
      </c>
      <c r="BR137" s="50" t="s">
        <v>407</v>
      </c>
      <c r="BS137" s="111">
        <v>5</v>
      </c>
      <c r="BT137" s="50" t="s">
        <v>286</v>
      </c>
      <c r="BU137" s="50" t="s">
        <v>312</v>
      </c>
      <c r="BV137" s="50" t="s">
        <v>288</v>
      </c>
      <c r="BW137" s="50" t="s">
        <v>289</v>
      </c>
      <c r="BX137" s="50" t="s">
        <v>300</v>
      </c>
      <c r="BY137" s="50" t="s">
        <v>288</v>
      </c>
      <c r="BZ137" s="50" t="s">
        <v>287</v>
      </c>
      <c r="CA137" s="50"/>
      <c r="CB137" s="50" t="s">
        <v>287</v>
      </c>
      <c r="CC137" s="50" t="s">
        <v>287</v>
      </c>
      <c r="CD137" s="50" t="s">
        <v>287</v>
      </c>
      <c r="CE137" s="50"/>
      <c r="CF137" s="50" t="s">
        <v>287</v>
      </c>
      <c r="CG137" s="50" t="s">
        <v>287</v>
      </c>
      <c r="CH137" s="50" t="s">
        <v>486</v>
      </c>
      <c r="CI137" s="50" t="s">
        <v>287</v>
      </c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1:97" ht="36.75" customHeight="1" thickBot="1">
      <c r="A138" s="49">
        <v>46086.271562499998</v>
      </c>
      <c r="B138" s="50" t="s">
        <v>40</v>
      </c>
      <c r="C138" s="50" t="s">
        <v>45</v>
      </c>
      <c r="D138" s="50" t="s">
        <v>369</v>
      </c>
      <c r="E138" s="50" t="s">
        <v>285</v>
      </c>
      <c r="F138" s="50" t="s">
        <v>286</v>
      </c>
      <c r="G138" s="50" t="s">
        <v>73</v>
      </c>
      <c r="H138" s="50" t="s">
        <v>353</v>
      </c>
      <c r="I138" s="50" t="s">
        <v>81</v>
      </c>
      <c r="J138" s="50" t="s">
        <v>286</v>
      </c>
      <c r="K138" s="50" t="s">
        <v>287</v>
      </c>
      <c r="L138" s="50" t="s">
        <v>526</v>
      </c>
      <c r="M138" s="50" t="s">
        <v>316</v>
      </c>
      <c r="N138" s="111">
        <v>5</v>
      </c>
      <c r="O138" s="111">
        <v>5</v>
      </c>
      <c r="P138" s="111">
        <v>5</v>
      </c>
      <c r="Q138" s="111">
        <v>5</v>
      </c>
      <c r="R138" s="111">
        <v>5</v>
      </c>
      <c r="S138" s="111">
        <v>5</v>
      </c>
      <c r="T138" s="111">
        <v>5</v>
      </c>
      <c r="U138" s="111">
        <v>5</v>
      </c>
      <c r="V138" s="111">
        <v>5</v>
      </c>
      <c r="W138" s="111">
        <v>5</v>
      </c>
      <c r="X138" s="111">
        <v>5</v>
      </c>
      <c r="Y138" s="111">
        <v>5</v>
      </c>
      <c r="Z138" s="111">
        <v>5</v>
      </c>
      <c r="AA138" s="111">
        <v>5</v>
      </c>
      <c r="AB138" s="111">
        <v>5</v>
      </c>
      <c r="AC138" s="111">
        <v>5</v>
      </c>
      <c r="AD138" s="111">
        <v>5</v>
      </c>
      <c r="AE138" s="111">
        <v>5</v>
      </c>
      <c r="AF138" s="111">
        <v>5</v>
      </c>
      <c r="AG138" s="111">
        <v>5</v>
      </c>
      <c r="AH138" s="111">
        <v>5</v>
      </c>
      <c r="AI138" s="111">
        <v>5</v>
      </c>
      <c r="AJ138" s="111">
        <v>5</v>
      </c>
      <c r="AK138" s="111">
        <v>5</v>
      </c>
      <c r="AL138" s="111">
        <v>5</v>
      </c>
      <c r="AM138" s="111">
        <v>5</v>
      </c>
      <c r="AN138" s="111">
        <v>5</v>
      </c>
      <c r="AO138" s="111">
        <v>5</v>
      </c>
      <c r="AP138" s="111">
        <v>5</v>
      </c>
      <c r="AQ138" s="111">
        <v>5</v>
      </c>
      <c r="AR138" s="111">
        <v>5</v>
      </c>
      <c r="AS138" s="111">
        <v>5</v>
      </c>
      <c r="AT138" s="111">
        <v>5</v>
      </c>
      <c r="AU138" s="111">
        <v>5</v>
      </c>
      <c r="AV138" s="50" t="s">
        <v>199</v>
      </c>
      <c r="AW138" s="50" t="s">
        <v>199</v>
      </c>
      <c r="AX138" s="50" t="s">
        <v>199</v>
      </c>
      <c r="AY138" s="50" t="s">
        <v>200</v>
      </c>
      <c r="AZ138" s="50" t="s">
        <v>200</v>
      </c>
      <c r="BA138" s="50" t="s">
        <v>200</v>
      </c>
      <c r="BB138" s="50" t="s">
        <v>200</v>
      </c>
      <c r="BC138" s="50" t="s">
        <v>200</v>
      </c>
      <c r="BD138" s="50" t="s">
        <v>200</v>
      </c>
      <c r="BE138" s="50" t="s">
        <v>200</v>
      </c>
      <c r="BF138" s="50" t="s">
        <v>200</v>
      </c>
      <c r="BG138" s="50" t="s">
        <v>200</v>
      </c>
      <c r="BH138" s="50" t="s">
        <v>200</v>
      </c>
      <c r="BI138" s="50" t="s">
        <v>200</v>
      </c>
      <c r="BJ138" s="50" t="s">
        <v>200</v>
      </c>
      <c r="BK138" s="50" t="s">
        <v>200</v>
      </c>
      <c r="BL138" s="50" t="s">
        <v>200</v>
      </c>
      <c r="BM138" s="50" t="s">
        <v>436</v>
      </c>
      <c r="BN138" s="50" t="s">
        <v>318</v>
      </c>
      <c r="BO138" s="50" t="s">
        <v>91</v>
      </c>
      <c r="BP138" s="50" t="s">
        <v>286</v>
      </c>
      <c r="BQ138" s="50" t="s">
        <v>287</v>
      </c>
      <c r="BR138" s="50" t="s">
        <v>406</v>
      </c>
      <c r="BS138" s="111">
        <v>5</v>
      </c>
      <c r="BT138" s="50" t="s">
        <v>286</v>
      </c>
      <c r="BU138" s="50" t="s">
        <v>312</v>
      </c>
      <c r="BV138" s="50" t="s">
        <v>288</v>
      </c>
      <c r="BW138" s="50" t="s">
        <v>293</v>
      </c>
      <c r="BX138" s="50" t="s">
        <v>290</v>
      </c>
      <c r="BY138" s="50" t="s">
        <v>288</v>
      </c>
      <c r="BZ138" s="50" t="s">
        <v>287</v>
      </c>
      <c r="CA138" s="50"/>
      <c r="CB138" s="50" t="s">
        <v>287</v>
      </c>
      <c r="CC138" s="50" t="s">
        <v>287</v>
      </c>
      <c r="CD138" s="50" t="s">
        <v>287</v>
      </c>
      <c r="CE138" s="50"/>
      <c r="CF138" s="50" t="s">
        <v>287</v>
      </c>
      <c r="CG138" s="50" t="s">
        <v>287</v>
      </c>
      <c r="CH138" s="50" t="s">
        <v>486</v>
      </c>
      <c r="CI138" s="50" t="s">
        <v>287</v>
      </c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1:97" ht="36.75" customHeight="1" thickBot="1">
      <c r="A139" s="49">
        <v>46086.273148148146</v>
      </c>
      <c r="B139" s="50" t="s">
        <v>40</v>
      </c>
      <c r="C139" s="50" t="s">
        <v>46</v>
      </c>
      <c r="D139" s="50" t="s">
        <v>374</v>
      </c>
      <c r="E139" s="50" t="s">
        <v>60</v>
      </c>
      <c r="F139" s="50" t="s">
        <v>286</v>
      </c>
      <c r="G139" s="50" t="s">
        <v>73</v>
      </c>
      <c r="H139" s="50" t="s">
        <v>314</v>
      </c>
      <c r="I139" s="50" t="s">
        <v>81</v>
      </c>
      <c r="J139" s="50" t="s">
        <v>286</v>
      </c>
      <c r="K139" s="50" t="s">
        <v>287</v>
      </c>
      <c r="L139" s="50" t="s">
        <v>336</v>
      </c>
      <c r="M139" s="50" t="s">
        <v>319</v>
      </c>
      <c r="N139" s="111">
        <v>5</v>
      </c>
      <c r="O139" s="111">
        <v>5</v>
      </c>
      <c r="P139" s="111">
        <v>5</v>
      </c>
      <c r="Q139" s="111">
        <v>5</v>
      </c>
      <c r="R139" s="111">
        <v>5</v>
      </c>
      <c r="S139" s="111">
        <v>5</v>
      </c>
      <c r="T139" s="111">
        <v>5</v>
      </c>
      <c r="U139" s="111">
        <v>5</v>
      </c>
      <c r="V139" s="111">
        <v>5</v>
      </c>
      <c r="W139" s="111">
        <v>5</v>
      </c>
      <c r="X139" s="111">
        <v>5</v>
      </c>
      <c r="Y139" s="111">
        <v>5</v>
      </c>
      <c r="Z139" s="111">
        <v>5</v>
      </c>
      <c r="AA139" s="111">
        <v>5</v>
      </c>
      <c r="AB139" s="111">
        <v>5</v>
      </c>
      <c r="AC139" s="111">
        <v>5</v>
      </c>
      <c r="AD139" s="111">
        <v>5</v>
      </c>
      <c r="AE139" s="111">
        <v>5</v>
      </c>
      <c r="AF139" s="111">
        <v>5</v>
      </c>
      <c r="AG139" s="111">
        <v>5</v>
      </c>
      <c r="AH139" s="111">
        <v>5</v>
      </c>
      <c r="AI139" s="111">
        <v>5</v>
      </c>
      <c r="AJ139" s="111">
        <v>5</v>
      </c>
      <c r="AK139" s="111">
        <v>5</v>
      </c>
      <c r="AL139" s="111">
        <v>5</v>
      </c>
      <c r="AM139" s="111">
        <v>5</v>
      </c>
      <c r="AN139" s="111">
        <v>5</v>
      </c>
      <c r="AO139" s="111">
        <v>5</v>
      </c>
      <c r="AP139" s="111">
        <v>5</v>
      </c>
      <c r="AQ139" s="111">
        <v>5</v>
      </c>
      <c r="AR139" s="111">
        <v>5</v>
      </c>
      <c r="AS139" s="111">
        <v>5</v>
      </c>
      <c r="AT139" s="111">
        <v>5</v>
      </c>
      <c r="AU139" s="111">
        <v>5</v>
      </c>
      <c r="AV139" s="50" t="s">
        <v>199</v>
      </c>
      <c r="AW139" s="50" t="s">
        <v>199</v>
      </c>
      <c r="AX139" s="50" t="s">
        <v>199</v>
      </c>
      <c r="AY139" s="50" t="s">
        <v>200</v>
      </c>
      <c r="AZ139" s="50" t="s">
        <v>200</v>
      </c>
      <c r="BA139" s="50" t="s">
        <v>200</v>
      </c>
      <c r="BB139" s="50" t="s">
        <v>200</v>
      </c>
      <c r="BC139" s="50" t="s">
        <v>200</v>
      </c>
      <c r="BD139" s="50" t="s">
        <v>200</v>
      </c>
      <c r="BE139" s="50" t="s">
        <v>200</v>
      </c>
      <c r="BF139" s="50" t="s">
        <v>200</v>
      </c>
      <c r="BG139" s="50" t="s">
        <v>200</v>
      </c>
      <c r="BH139" s="50" t="s">
        <v>200</v>
      </c>
      <c r="BI139" s="50" t="s">
        <v>200</v>
      </c>
      <c r="BJ139" s="50" t="s">
        <v>200</v>
      </c>
      <c r="BK139" s="50" t="s">
        <v>200</v>
      </c>
      <c r="BL139" s="50" t="s">
        <v>200</v>
      </c>
      <c r="BM139" s="50" t="s">
        <v>436</v>
      </c>
      <c r="BN139" s="50" t="s">
        <v>318</v>
      </c>
      <c r="BO139" s="50" t="s">
        <v>91</v>
      </c>
      <c r="BP139" s="50" t="s">
        <v>286</v>
      </c>
      <c r="BQ139" s="50" t="s">
        <v>287</v>
      </c>
      <c r="BR139" s="50" t="s">
        <v>413</v>
      </c>
      <c r="BS139" s="111">
        <v>5</v>
      </c>
      <c r="BT139" s="50" t="s">
        <v>286</v>
      </c>
      <c r="BU139" s="50" t="s">
        <v>312</v>
      </c>
      <c r="BV139" s="50" t="s">
        <v>288</v>
      </c>
      <c r="BW139" s="50" t="s">
        <v>303</v>
      </c>
      <c r="BX139" s="50" t="s">
        <v>290</v>
      </c>
      <c r="BY139" s="50" t="s">
        <v>288</v>
      </c>
      <c r="BZ139" s="50" t="s">
        <v>287</v>
      </c>
      <c r="CA139" s="50"/>
      <c r="CB139" s="50" t="s">
        <v>287</v>
      </c>
      <c r="CC139" s="50" t="s">
        <v>287</v>
      </c>
      <c r="CD139" s="50" t="s">
        <v>287</v>
      </c>
      <c r="CE139" s="50"/>
      <c r="CF139" s="50" t="s">
        <v>287</v>
      </c>
      <c r="CG139" s="50" t="s">
        <v>287</v>
      </c>
      <c r="CH139" s="50" t="s">
        <v>486</v>
      </c>
      <c r="CI139" s="50" t="s">
        <v>287</v>
      </c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1:97" ht="36.75" customHeight="1" thickBot="1">
      <c r="A140" s="49">
        <v>46086.276180555556</v>
      </c>
      <c r="B140" s="50" t="s">
        <v>40</v>
      </c>
      <c r="C140" s="50" t="s">
        <v>45</v>
      </c>
      <c r="D140" s="50" t="s">
        <v>369</v>
      </c>
      <c r="E140" s="50" t="s">
        <v>62</v>
      </c>
      <c r="F140" s="50" t="s">
        <v>286</v>
      </c>
      <c r="G140" s="50" t="s">
        <v>73</v>
      </c>
      <c r="H140" s="50" t="s">
        <v>346</v>
      </c>
      <c r="I140" s="50" t="s">
        <v>81</v>
      </c>
      <c r="J140" s="50" t="s">
        <v>286</v>
      </c>
      <c r="K140" s="50" t="s">
        <v>287</v>
      </c>
      <c r="L140" s="50" t="s">
        <v>527</v>
      </c>
      <c r="M140" s="50" t="s">
        <v>319</v>
      </c>
      <c r="N140" s="111">
        <v>5</v>
      </c>
      <c r="O140" s="111">
        <v>5</v>
      </c>
      <c r="P140" s="111">
        <v>5</v>
      </c>
      <c r="Q140" s="111">
        <v>5</v>
      </c>
      <c r="R140" s="111">
        <v>5</v>
      </c>
      <c r="S140" s="111">
        <v>5</v>
      </c>
      <c r="T140" s="111">
        <v>5</v>
      </c>
      <c r="U140" s="111">
        <v>5</v>
      </c>
      <c r="V140" s="111">
        <v>5</v>
      </c>
      <c r="W140" s="111">
        <v>5</v>
      </c>
      <c r="X140" s="111">
        <v>5</v>
      </c>
      <c r="Y140" s="111">
        <v>5</v>
      </c>
      <c r="Z140" s="111">
        <v>5</v>
      </c>
      <c r="AA140" s="111">
        <v>5</v>
      </c>
      <c r="AB140" s="111">
        <v>5</v>
      </c>
      <c r="AC140" s="111">
        <v>5</v>
      </c>
      <c r="AD140" s="111">
        <v>5</v>
      </c>
      <c r="AE140" s="111">
        <v>5</v>
      </c>
      <c r="AF140" s="111">
        <v>5</v>
      </c>
      <c r="AG140" s="111">
        <v>5</v>
      </c>
      <c r="AH140" s="111">
        <v>5</v>
      </c>
      <c r="AI140" s="111">
        <v>5</v>
      </c>
      <c r="AJ140" s="111">
        <v>5</v>
      </c>
      <c r="AK140" s="111">
        <v>5</v>
      </c>
      <c r="AL140" s="111">
        <v>5</v>
      </c>
      <c r="AM140" s="111">
        <v>5</v>
      </c>
      <c r="AN140" s="111">
        <v>5</v>
      </c>
      <c r="AO140" s="111">
        <v>5</v>
      </c>
      <c r="AP140" s="111">
        <v>5</v>
      </c>
      <c r="AQ140" s="111">
        <v>5</v>
      </c>
      <c r="AR140" s="111">
        <v>5</v>
      </c>
      <c r="AS140" s="111">
        <v>5</v>
      </c>
      <c r="AT140" s="111">
        <v>5</v>
      </c>
      <c r="AU140" s="111">
        <v>5</v>
      </c>
      <c r="AV140" s="50" t="s">
        <v>199</v>
      </c>
      <c r="AW140" s="50" t="s">
        <v>199</v>
      </c>
      <c r="AX140" s="50" t="s">
        <v>199</v>
      </c>
      <c r="AY140" s="50" t="s">
        <v>200</v>
      </c>
      <c r="AZ140" s="50" t="s">
        <v>200</v>
      </c>
      <c r="BA140" s="50" t="s">
        <v>200</v>
      </c>
      <c r="BB140" s="50" t="s">
        <v>200</v>
      </c>
      <c r="BC140" s="50" t="s">
        <v>200</v>
      </c>
      <c r="BD140" s="50" t="s">
        <v>200</v>
      </c>
      <c r="BE140" s="50" t="s">
        <v>200</v>
      </c>
      <c r="BF140" s="50" t="s">
        <v>200</v>
      </c>
      <c r="BG140" s="50" t="s">
        <v>200</v>
      </c>
      <c r="BH140" s="50" t="s">
        <v>200</v>
      </c>
      <c r="BI140" s="50" t="s">
        <v>200</v>
      </c>
      <c r="BJ140" s="50" t="s">
        <v>200</v>
      </c>
      <c r="BK140" s="50" t="s">
        <v>200</v>
      </c>
      <c r="BL140" s="50" t="s">
        <v>200</v>
      </c>
      <c r="BM140" s="50" t="s">
        <v>436</v>
      </c>
      <c r="BN140" s="50" t="s">
        <v>318</v>
      </c>
      <c r="BO140" s="50" t="s">
        <v>91</v>
      </c>
      <c r="BP140" s="50" t="s">
        <v>286</v>
      </c>
      <c r="BQ140" s="50" t="s">
        <v>287</v>
      </c>
      <c r="BR140" s="50" t="s">
        <v>406</v>
      </c>
      <c r="BS140" s="111">
        <v>5</v>
      </c>
      <c r="BT140" s="50" t="s">
        <v>286</v>
      </c>
      <c r="BU140" s="50" t="s">
        <v>312</v>
      </c>
      <c r="BV140" s="50" t="s">
        <v>288</v>
      </c>
      <c r="BW140" s="50" t="s">
        <v>293</v>
      </c>
      <c r="BX140" s="50" t="s">
        <v>290</v>
      </c>
      <c r="BY140" s="50" t="s">
        <v>288</v>
      </c>
      <c r="BZ140" s="50" t="s">
        <v>287</v>
      </c>
      <c r="CA140" s="50"/>
      <c r="CB140" s="50" t="s">
        <v>287</v>
      </c>
      <c r="CC140" s="50" t="s">
        <v>287</v>
      </c>
      <c r="CD140" s="50" t="s">
        <v>287</v>
      </c>
      <c r="CE140" s="50"/>
      <c r="CF140" s="50" t="s">
        <v>287</v>
      </c>
      <c r="CG140" s="50" t="s">
        <v>287</v>
      </c>
      <c r="CH140" s="50" t="s">
        <v>486</v>
      </c>
      <c r="CI140" s="50" t="s">
        <v>287</v>
      </c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1:97" ht="36.75" customHeight="1" thickBot="1">
      <c r="A141" s="49">
        <v>46086.279004629629</v>
      </c>
      <c r="B141" s="50" t="s">
        <v>40</v>
      </c>
      <c r="C141" s="50" t="s">
        <v>45</v>
      </c>
      <c r="D141" s="50" t="s">
        <v>374</v>
      </c>
      <c r="E141" s="50" t="s">
        <v>61</v>
      </c>
      <c r="F141" s="50" t="s">
        <v>286</v>
      </c>
      <c r="G141" s="50" t="s">
        <v>292</v>
      </c>
      <c r="H141" s="50" t="s">
        <v>528</v>
      </c>
      <c r="I141" s="50" t="s">
        <v>81</v>
      </c>
      <c r="J141" s="50" t="s">
        <v>286</v>
      </c>
      <c r="K141" s="50" t="s">
        <v>287</v>
      </c>
      <c r="L141" s="50" t="s">
        <v>529</v>
      </c>
      <c r="M141" s="50" t="s">
        <v>319</v>
      </c>
      <c r="N141" s="111">
        <v>5</v>
      </c>
      <c r="O141" s="111">
        <v>5</v>
      </c>
      <c r="P141" s="111">
        <v>5</v>
      </c>
      <c r="Q141" s="111">
        <v>5</v>
      </c>
      <c r="R141" s="111">
        <v>5</v>
      </c>
      <c r="S141" s="111">
        <v>5</v>
      </c>
      <c r="T141" s="111">
        <v>5</v>
      </c>
      <c r="U141" s="111">
        <v>5</v>
      </c>
      <c r="V141" s="111">
        <v>5</v>
      </c>
      <c r="W141" s="111">
        <v>5</v>
      </c>
      <c r="X141" s="111">
        <v>5</v>
      </c>
      <c r="Y141" s="111">
        <v>5</v>
      </c>
      <c r="Z141" s="111">
        <v>5</v>
      </c>
      <c r="AA141" s="111">
        <v>5</v>
      </c>
      <c r="AB141" s="111">
        <v>5</v>
      </c>
      <c r="AC141" s="111">
        <v>5</v>
      </c>
      <c r="AD141" s="111">
        <v>5</v>
      </c>
      <c r="AE141" s="111">
        <v>5</v>
      </c>
      <c r="AF141" s="111">
        <v>5</v>
      </c>
      <c r="AG141" s="111">
        <v>5</v>
      </c>
      <c r="AH141" s="111">
        <v>5</v>
      </c>
      <c r="AI141" s="111">
        <v>5</v>
      </c>
      <c r="AJ141" s="111">
        <v>5</v>
      </c>
      <c r="AK141" s="111">
        <v>5</v>
      </c>
      <c r="AL141" s="111">
        <v>5</v>
      </c>
      <c r="AM141" s="111">
        <v>5</v>
      </c>
      <c r="AN141" s="111">
        <v>5</v>
      </c>
      <c r="AO141" s="111">
        <v>5</v>
      </c>
      <c r="AP141" s="111">
        <v>5</v>
      </c>
      <c r="AQ141" s="111">
        <v>5</v>
      </c>
      <c r="AR141" s="111">
        <v>5</v>
      </c>
      <c r="AS141" s="111">
        <v>5</v>
      </c>
      <c r="AT141" s="111">
        <v>5</v>
      </c>
      <c r="AU141" s="111">
        <v>5</v>
      </c>
      <c r="AV141" s="50" t="s">
        <v>199</v>
      </c>
      <c r="AW141" s="50" t="s">
        <v>199</v>
      </c>
      <c r="AX141" s="50" t="s">
        <v>199</v>
      </c>
      <c r="AY141" s="50" t="s">
        <v>200</v>
      </c>
      <c r="AZ141" s="50" t="s">
        <v>200</v>
      </c>
      <c r="BA141" s="50" t="s">
        <v>200</v>
      </c>
      <c r="BB141" s="50" t="s">
        <v>200</v>
      </c>
      <c r="BC141" s="50" t="s">
        <v>200</v>
      </c>
      <c r="BD141" s="50" t="s">
        <v>200</v>
      </c>
      <c r="BE141" s="50" t="s">
        <v>200</v>
      </c>
      <c r="BF141" s="50" t="s">
        <v>200</v>
      </c>
      <c r="BG141" s="50" t="s">
        <v>200</v>
      </c>
      <c r="BH141" s="50" t="s">
        <v>200</v>
      </c>
      <c r="BI141" s="50" t="s">
        <v>200</v>
      </c>
      <c r="BJ141" s="50" t="s">
        <v>200</v>
      </c>
      <c r="BK141" s="50" t="s">
        <v>200</v>
      </c>
      <c r="BL141" s="50" t="s">
        <v>200</v>
      </c>
      <c r="BM141" s="50" t="s">
        <v>436</v>
      </c>
      <c r="BN141" s="50" t="s">
        <v>318</v>
      </c>
      <c r="BO141" s="50" t="s">
        <v>91</v>
      </c>
      <c r="BP141" s="50" t="s">
        <v>286</v>
      </c>
      <c r="BQ141" s="50" t="s">
        <v>287</v>
      </c>
      <c r="BR141" s="50" t="s">
        <v>305</v>
      </c>
      <c r="BS141" s="111">
        <v>5</v>
      </c>
      <c r="BT141" s="50" t="s">
        <v>286</v>
      </c>
      <c r="BU141" s="50" t="s">
        <v>312</v>
      </c>
      <c r="BV141" s="50" t="s">
        <v>288</v>
      </c>
      <c r="BW141" s="50" t="s">
        <v>289</v>
      </c>
      <c r="BX141" s="50" t="s">
        <v>300</v>
      </c>
      <c r="BY141" s="50" t="s">
        <v>288</v>
      </c>
      <c r="BZ141" s="50" t="s">
        <v>287</v>
      </c>
      <c r="CA141" s="50"/>
      <c r="CB141" s="50" t="s">
        <v>287</v>
      </c>
      <c r="CC141" s="50" t="s">
        <v>287</v>
      </c>
      <c r="CD141" s="50" t="s">
        <v>287</v>
      </c>
      <c r="CE141" s="50"/>
      <c r="CF141" s="50" t="s">
        <v>287</v>
      </c>
      <c r="CG141" s="50" t="s">
        <v>287</v>
      </c>
      <c r="CH141" s="50" t="s">
        <v>486</v>
      </c>
      <c r="CI141" s="50" t="s">
        <v>287</v>
      </c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1:97" ht="36.75" customHeight="1" thickBot="1">
      <c r="A142" s="49">
        <v>46086.281122685185</v>
      </c>
      <c r="B142" s="50" t="s">
        <v>40</v>
      </c>
      <c r="C142" s="50" t="s">
        <v>46</v>
      </c>
      <c r="D142" s="50" t="s">
        <v>374</v>
      </c>
      <c r="E142" s="50" t="s">
        <v>63</v>
      </c>
      <c r="F142" s="50" t="s">
        <v>286</v>
      </c>
      <c r="G142" s="50" t="s">
        <v>73</v>
      </c>
      <c r="H142" s="50" t="s">
        <v>329</v>
      </c>
      <c r="I142" s="50" t="s">
        <v>81</v>
      </c>
      <c r="J142" s="50" t="s">
        <v>286</v>
      </c>
      <c r="K142" s="50" t="s">
        <v>287</v>
      </c>
      <c r="L142" s="50" t="s">
        <v>530</v>
      </c>
      <c r="M142" s="50" t="s">
        <v>319</v>
      </c>
      <c r="N142" s="111">
        <v>5</v>
      </c>
      <c r="O142" s="111">
        <v>5</v>
      </c>
      <c r="P142" s="111">
        <v>5</v>
      </c>
      <c r="Q142" s="111">
        <v>5</v>
      </c>
      <c r="R142" s="111">
        <v>5</v>
      </c>
      <c r="S142" s="111">
        <v>5</v>
      </c>
      <c r="T142" s="111">
        <v>5</v>
      </c>
      <c r="U142" s="111">
        <v>5</v>
      </c>
      <c r="V142" s="111">
        <v>5</v>
      </c>
      <c r="W142" s="111">
        <v>5</v>
      </c>
      <c r="X142" s="111">
        <v>5</v>
      </c>
      <c r="Y142" s="111">
        <v>5</v>
      </c>
      <c r="Z142" s="111">
        <v>5</v>
      </c>
      <c r="AA142" s="111">
        <v>5</v>
      </c>
      <c r="AB142" s="111">
        <v>5</v>
      </c>
      <c r="AC142" s="111">
        <v>5</v>
      </c>
      <c r="AD142" s="111">
        <v>5</v>
      </c>
      <c r="AE142" s="111">
        <v>5</v>
      </c>
      <c r="AF142" s="111">
        <v>5</v>
      </c>
      <c r="AG142" s="111">
        <v>5</v>
      </c>
      <c r="AH142" s="111">
        <v>5</v>
      </c>
      <c r="AI142" s="111">
        <v>5</v>
      </c>
      <c r="AJ142" s="111">
        <v>5</v>
      </c>
      <c r="AK142" s="111">
        <v>5</v>
      </c>
      <c r="AL142" s="111">
        <v>5</v>
      </c>
      <c r="AM142" s="111">
        <v>5</v>
      </c>
      <c r="AN142" s="111">
        <v>5</v>
      </c>
      <c r="AO142" s="111">
        <v>5</v>
      </c>
      <c r="AP142" s="111">
        <v>5</v>
      </c>
      <c r="AQ142" s="111">
        <v>5</v>
      </c>
      <c r="AR142" s="111">
        <v>5</v>
      </c>
      <c r="AS142" s="111">
        <v>5</v>
      </c>
      <c r="AT142" s="111">
        <v>5</v>
      </c>
      <c r="AU142" s="111">
        <v>5</v>
      </c>
      <c r="AV142" s="50" t="s">
        <v>199</v>
      </c>
      <c r="AW142" s="50" t="s">
        <v>199</v>
      </c>
      <c r="AX142" s="50" t="s">
        <v>199</v>
      </c>
      <c r="AY142" s="50" t="s">
        <v>200</v>
      </c>
      <c r="AZ142" s="50" t="s">
        <v>200</v>
      </c>
      <c r="BA142" s="50" t="s">
        <v>200</v>
      </c>
      <c r="BB142" s="50" t="s">
        <v>200</v>
      </c>
      <c r="BC142" s="50" t="s">
        <v>200</v>
      </c>
      <c r="BD142" s="50" t="s">
        <v>200</v>
      </c>
      <c r="BE142" s="50" t="s">
        <v>200</v>
      </c>
      <c r="BF142" s="50" t="s">
        <v>200</v>
      </c>
      <c r="BG142" s="50" t="s">
        <v>200</v>
      </c>
      <c r="BH142" s="50" t="s">
        <v>200</v>
      </c>
      <c r="BI142" s="50" t="s">
        <v>200</v>
      </c>
      <c r="BJ142" s="50" t="s">
        <v>200</v>
      </c>
      <c r="BK142" s="50" t="s">
        <v>200</v>
      </c>
      <c r="BL142" s="50" t="s">
        <v>200</v>
      </c>
      <c r="BM142" s="50" t="s">
        <v>436</v>
      </c>
      <c r="BN142" s="50" t="s">
        <v>318</v>
      </c>
      <c r="BO142" s="50" t="s">
        <v>91</v>
      </c>
      <c r="BP142" s="50" t="s">
        <v>286</v>
      </c>
      <c r="BQ142" s="50" t="s">
        <v>287</v>
      </c>
      <c r="BR142" s="50" t="s">
        <v>413</v>
      </c>
      <c r="BS142" s="111">
        <v>5</v>
      </c>
      <c r="BT142" s="50" t="s">
        <v>286</v>
      </c>
      <c r="BU142" s="50" t="s">
        <v>312</v>
      </c>
      <c r="BV142" s="50" t="s">
        <v>288</v>
      </c>
      <c r="BW142" s="50" t="s">
        <v>304</v>
      </c>
      <c r="BX142" s="50" t="s">
        <v>300</v>
      </c>
      <c r="BY142" s="50" t="s">
        <v>288</v>
      </c>
      <c r="BZ142" s="50" t="s">
        <v>287</v>
      </c>
      <c r="CA142" s="50"/>
      <c r="CB142" s="50" t="s">
        <v>287</v>
      </c>
      <c r="CC142" s="50" t="s">
        <v>287</v>
      </c>
      <c r="CD142" s="50" t="s">
        <v>287</v>
      </c>
      <c r="CE142" s="50"/>
      <c r="CF142" s="50" t="s">
        <v>287</v>
      </c>
      <c r="CG142" s="50" t="s">
        <v>287</v>
      </c>
      <c r="CH142" s="50" t="s">
        <v>486</v>
      </c>
      <c r="CI142" s="50" t="s">
        <v>287</v>
      </c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1:97" ht="36.75" customHeight="1" thickBot="1">
      <c r="A143" s="49">
        <v>46086.323819444442</v>
      </c>
      <c r="B143" s="50" t="s">
        <v>40</v>
      </c>
      <c r="C143" s="50" t="s">
        <v>45</v>
      </c>
      <c r="D143" s="50" t="s">
        <v>374</v>
      </c>
      <c r="E143" s="50" t="s">
        <v>63</v>
      </c>
      <c r="F143" s="50" t="s">
        <v>427</v>
      </c>
      <c r="G143" s="50" t="s">
        <v>73</v>
      </c>
      <c r="H143" s="50" t="s">
        <v>431</v>
      </c>
      <c r="I143" s="50" t="s">
        <v>81</v>
      </c>
      <c r="J143" s="50" t="s">
        <v>286</v>
      </c>
      <c r="K143" s="50" t="s">
        <v>287</v>
      </c>
      <c r="L143" s="50" t="s">
        <v>336</v>
      </c>
      <c r="M143" s="50" t="s">
        <v>7</v>
      </c>
      <c r="N143" s="111">
        <v>5</v>
      </c>
      <c r="O143" s="111">
        <v>5</v>
      </c>
      <c r="P143" s="111">
        <v>5</v>
      </c>
      <c r="Q143" s="111">
        <v>5</v>
      </c>
      <c r="R143" s="111">
        <v>5</v>
      </c>
      <c r="S143" s="111">
        <v>5</v>
      </c>
      <c r="T143" s="111">
        <v>5</v>
      </c>
      <c r="U143" s="111">
        <v>5</v>
      </c>
      <c r="V143" s="111">
        <v>5</v>
      </c>
      <c r="W143" s="111">
        <v>5</v>
      </c>
      <c r="X143" s="111">
        <v>5</v>
      </c>
      <c r="Y143" s="111">
        <v>5</v>
      </c>
      <c r="Z143" s="111">
        <v>5</v>
      </c>
      <c r="AA143" s="111">
        <v>5</v>
      </c>
      <c r="AB143" s="111">
        <v>5</v>
      </c>
      <c r="AC143" s="111">
        <v>5</v>
      </c>
      <c r="AD143" s="111">
        <v>5</v>
      </c>
      <c r="AE143" s="111">
        <v>5</v>
      </c>
      <c r="AF143" s="111">
        <v>5</v>
      </c>
      <c r="AG143" s="111">
        <v>5</v>
      </c>
      <c r="AH143" s="111">
        <v>5</v>
      </c>
      <c r="AI143" s="111">
        <v>5</v>
      </c>
      <c r="AJ143" s="111">
        <v>5</v>
      </c>
      <c r="AK143" s="111">
        <v>5</v>
      </c>
      <c r="AL143" s="111">
        <v>5</v>
      </c>
      <c r="AM143" s="111">
        <v>5</v>
      </c>
      <c r="AN143" s="111">
        <v>5</v>
      </c>
      <c r="AO143" s="111">
        <v>5</v>
      </c>
      <c r="AP143" s="111">
        <v>5</v>
      </c>
      <c r="AQ143" s="111">
        <v>5</v>
      </c>
      <c r="AR143" s="111">
        <v>5</v>
      </c>
      <c r="AS143" s="111">
        <v>5</v>
      </c>
      <c r="AT143" s="111">
        <v>5</v>
      </c>
      <c r="AU143" s="111">
        <v>5</v>
      </c>
      <c r="AV143" s="50" t="s">
        <v>199</v>
      </c>
      <c r="AW143" s="50" t="s">
        <v>199</v>
      </c>
      <c r="AX143" s="50" t="s">
        <v>199</v>
      </c>
      <c r="AY143" s="50" t="s">
        <v>200</v>
      </c>
      <c r="AZ143" s="50" t="s">
        <v>200</v>
      </c>
      <c r="BA143" s="50" t="s">
        <v>200</v>
      </c>
      <c r="BB143" s="50" t="s">
        <v>200</v>
      </c>
      <c r="BC143" s="50" t="s">
        <v>200</v>
      </c>
      <c r="BD143" s="50" t="s">
        <v>200</v>
      </c>
      <c r="BE143" s="50" t="s">
        <v>200</v>
      </c>
      <c r="BF143" s="50" t="s">
        <v>200</v>
      </c>
      <c r="BG143" s="50" t="s">
        <v>200</v>
      </c>
      <c r="BH143" s="50" t="s">
        <v>200</v>
      </c>
      <c r="BI143" s="50" t="s">
        <v>200</v>
      </c>
      <c r="BJ143" s="50" t="s">
        <v>200</v>
      </c>
      <c r="BK143" s="50" t="s">
        <v>200</v>
      </c>
      <c r="BL143" s="50" t="s">
        <v>200</v>
      </c>
      <c r="BM143" s="50" t="s">
        <v>436</v>
      </c>
      <c r="BN143" s="50" t="s">
        <v>318</v>
      </c>
      <c r="BO143" s="50" t="s">
        <v>91</v>
      </c>
      <c r="BP143" s="50" t="s">
        <v>286</v>
      </c>
      <c r="BQ143" s="50" t="s">
        <v>287</v>
      </c>
      <c r="BR143" s="50" t="s">
        <v>403</v>
      </c>
      <c r="BS143" s="111">
        <v>4</v>
      </c>
      <c r="BT143" s="50" t="s">
        <v>286</v>
      </c>
      <c r="BU143" s="50" t="s">
        <v>312</v>
      </c>
      <c r="BV143" s="50" t="s">
        <v>288</v>
      </c>
      <c r="BW143" s="50" t="s">
        <v>293</v>
      </c>
      <c r="BX143" s="50" t="s">
        <v>290</v>
      </c>
      <c r="BY143" s="50" t="s">
        <v>288</v>
      </c>
      <c r="BZ143" s="50" t="s">
        <v>287</v>
      </c>
      <c r="CA143" s="50"/>
      <c r="CB143" s="50" t="s">
        <v>287</v>
      </c>
      <c r="CC143" s="50" t="s">
        <v>287</v>
      </c>
      <c r="CD143" s="50" t="s">
        <v>287</v>
      </c>
      <c r="CE143" s="50"/>
      <c r="CF143" s="50" t="s">
        <v>287</v>
      </c>
      <c r="CG143" s="50" t="s">
        <v>287</v>
      </c>
      <c r="CH143" s="50" t="s">
        <v>486</v>
      </c>
      <c r="CI143" s="50" t="s">
        <v>287</v>
      </c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1:97" ht="36.75" customHeight="1" thickBot="1">
      <c r="A144" s="49">
        <v>46086.327800925923</v>
      </c>
      <c r="B144" s="50" t="s">
        <v>40</v>
      </c>
      <c r="C144" s="50" t="s">
        <v>45</v>
      </c>
      <c r="D144" s="50" t="s">
        <v>374</v>
      </c>
      <c r="E144" s="50" t="s">
        <v>62</v>
      </c>
      <c r="F144" s="50" t="s">
        <v>286</v>
      </c>
      <c r="G144" s="50" t="s">
        <v>73</v>
      </c>
      <c r="H144" s="50" t="s">
        <v>531</v>
      </c>
      <c r="I144" s="50" t="s">
        <v>81</v>
      </c>
      <c r="J144" s="50" t="s">
        <v>286</v>
      </c>
      <c r="K144" s="50" t="s">
        <v>287</v>
      </c>
      <c r="L144" s="50" t="s">
        <v>336</v>
      </c>
      <c r="M144" s="50" t="s">
        <v>7</v>
      </c>
      <c r="N144" s="111">
        <v>5</v>
      </c>
      <c r="O144" s="111">
        <v>5</v>
      </c>
      <c r="P144" s="111">
        <v>5</v>
      </c>
      <c r="Q144" s="111">
        <v>5</v>
      </c>
      <c r="R144" s="111">
        <v>5</v>
      </c>
      <c r="S144" s="111">
        <v>5</v>
      </c>
      <c r="T144" s="111">
        <v>5</v>
      </c>
      <c r="U144" s="111">
        <v>5</v>
      </c>
      <c r="V144" s="111">
        <v>5</v>
      </c>
      <c r="W144" s="111">
        <v>5</v>
      </c>
      <c r="X144" s="111">
        <v>5</v>
      </c>
      <c r="Y144" s="111">
        <v>5</v>
      </c>
      <c r="Z144" s="111">
        <v>5</v>
      </c>
      <c r="AA144" s="111">
        <v>5</v>
      </c>
      <c r="AB144" s="111">
        <v>5</v>
      </c>
      <c r="AC144" s="111">
        <v>5</v>
      </c>
      <c r="AD144" s="111">
        <v>5</v>
      </c>
      <c r="AE144" s="111">
        <v>5</v>
      </c>
      <c r="AF144" s="111">
        <v>5</v>
      </c>
      <c r="AG144" s="111">
        <v>5</v>
      </c>
      <c r="AH144" s="111">
        <v>5</v>
      </c>
      <c r="AI144" s="111">
        <v>5</v>
      </c>
      <c r="AJ144" s="111">
        <v>5</v>
      </c>
      <c r="AK144" s="111">
        <v>5</v>
      </c>
      <c r="AL144" s="111">
        <v>5</v>
      </c>
      <c r="AM144" s="111">
        <v>5</v>
      </c>
      <c r="AN144" s="111">
        <v>5</v>
      </c>
      <c r="AO144" s="111">
        <v>5</v>
      </c>
      <c r="AP144" s="111">
        <v>5</v>
      </c>
      <c r="AQ144" s="111">
        <v>5</v>
      </c>
      <c r="AR144" s="111">
        <v>5</v>
      </c>
      <c r="AS144" s="111">
        <v>5</v>
      </c>
      <c r="AT144" s="111">
        <v>5</v>
      </c>
      <c r="AU144" s="111">
        <v>5</v>
      </c>
      <c r="AV144" s="50" t="s">
        <v>199</v>
      </c>
      <c r="AW144" s="50" t="s">
        <v>199</v>
      </c>
      <c r="AX144" s="50" t="s">
        <v>199</v>
      </c>
      <c r="AY144" s="50" t="s">
        <v>200</v>
      </c>
      <c r="AZ144" s="50" t="s">
        <v>200</v>
      </c>
      <c r="BA144" s="50" t="s">
        <v>200</v>
      </c>
      <c r="BB144" s="50" t="s">
        <v>200</v>
      </c>
      <c r="BC144" s="50" t="s">
        <v>200</v>
      </c>
      <c r="BD144" s="50" t="s">
        <v>200</v>
      </c>
      <c r="BE144" s="50" t="s">
        <v>200</v>
      </c>
      <c r="BF144" s="50" t="s">
        <v>200</v>
      </c>
      <c r="BG144" s="50" t="s">
        <v>200</v>
      </c>
      <c r="BH144" s="50" t="s">
        <v>200</v>
      </c>
      <c r="BI144" s="50" t="s">
        <v>200</v>
      </c>
      <c r="BJ144" s="50" t="s">
        <v>200</v>
      </c>
      <c r="BK144" s="50" t="s">
        <v>200</v>
      </c>
      <c r="BL144" s="50" t="s">
        <v>200</v>
      </c>
      <c r="BM144" s="50" t="s">
        <v>436</v>
      </c>
      <c r="BN144" s="50" t="s">
        <v>318</v>
      </c>
      <c r="BO144" s="50" t="s">
        <v>91</v>
      </c>
      <c r="BP144" s="50" t="s">
        <v>286</v>
      </c>
      <c r="BQ144" s="50" t="s">
        <v>287</v>
      </c>
      <c r="BR144" s="50" t="s">
        <v>403</v>
      </c>
      <c r="BS144" s="111">
        <v>4</v>
      </c>
      <c r="BT144" s="50" t="s">
        <v>318</v>
      </c>
      <c r="BU144" s="50" t="s">
        <v>312</v>
      </c>
      <c r="BV144" s="50" t="s">
        <v>288</v>
      </c>
      <c r="BW144" s="50" t="s">
        <v>289</v>
      </c>
      <c r="BX144" s="50" t="s">
        <v>300</v>
      </c>
      <c r="BY144" s="50" t="s">
        <v>288</v>
      </c>
      <c r="BZ144" s="50" t="s">
        <v>287</v>
      </c>
      <c r="CA144" s="50"/>
      <c r="CB144" s="50" t="s">
        <v>287</v>
      </c>
      <c r="CC144" s="50" t="s">
        <v>287</v>
      </c>
      <c r="CD144" s="50" t="s">
        <v>287</v>
      </c>
      <c r="CE144" s="50"/>
      <c r="CF144" s="50" t="s">
        <v>287</v>
      </c>
      <c r="CG144" s="50" t="s">
        <v>287</v>
      </c>
      <c r="CH144" s="50" t="s">
        <v>486</v>
      </c>
      <c r="CI144" s="50" t="s">
        <v>287</v>
      </c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1:97" ht="36.75" customHeight="1" thickBot="1">
      <c r="A145" s="49">
        <v>46086.342060185183</v>
      </c>
      <c r="B145" s="50" t="s">
        <v>40</v>
      </c>
      <c r="C145" s="50" t="s">
        <v>45</v>
      </c>
      <c r="D145" s="50" t="s">
        <v>374</v>
      </c>
      <c r="E145" s="50" t="s">
        <v>61</v>
      </c>
      <c r="F145" s="50" t="s">
        <v>286</v>
      </c>
      <c r="G145" s="50" t="s">
        <v>73</v>
      </c>
      <c r="H145" s="50" t="s">
        <v>286</v>
      </c>
      <c r="I145" s="50" t="s">
        <v>81</v>
      </c>
      <c r="J145" s="50" t="s">
        <v>286</v>
      </c>
      <c r="K145" s="50" t="s">
        <v>287</v>
      </c>
      <c r="L145" s="50" t="s">
        <v>336</v>
      </c>
      <c r="M145" s="50" t="s">
        <v>7</v>
      </c>
      <c r="N145" s="111">
        <v>4</v>
      </c>
      <c r="O145" s="111">
        <v>4</v>
      </c>
      <c r="P145" s="111">
        <v>4</v>
      </c>
      <c r="Q145" s="111">
        <v>4</v>
      </c>
      <c r="R145" s="111">
        <v>4</v>
      </c>
      <c r="S145" s="111">
        <v>4</v>
      </c>
      <c r="T145" s="111">
        <v>4</v>
      </c>
      <c r="U145" s="111">
        <v>4</v>
      </c>
      <c r="V145" s="111">
        <v>4</v>
      </c>
      <c r="W145" s="111">
        <v>4</v>
      </c>
      <c r="X145" s="111">
        <v>4</v>
      </c>
      <c r="Y145" s="111">
        <v>4</v>
      </c>
      <c r="Z145" s="111">
        <v>4</v>
      </c>
      <c r="AA145" s="111">
        <v>4</v>
      </c>
      <c r="AB145" s="111">
        <v>4</v>
      </c>
      <c r="AC145" s="111">
        <v>4</v>
      </c>
      <c r="AD145" s="111">
        <v>4</v>
      </c>
      <c r="AE145" s="111">
        <v>4</v>
      </c>
      <c r="AF145" s="111">
        <v>4</v>
      </c>
      <c r="AG145" s="111">
        <v>4</v>
      </c>
      <c r="AH145" s="111">
        <v>4</v>
      </c>
      <c r="AI145" s="111">
        <v>4</v>
      </c>
      <c r="AJ145" s="111">
        <v>4</v>
      </c>
      <c r="AK145" s="111">
        <v>4</v>
      </c>
      <c r="AL145" s="111">
        <v>4</v>
      </c>
      <c r="AM145" s="111">
        <v>4</v>
      </c>
      <c r="AN145" s="111">
        <v>4</v>
      </c>
      <c r="AO145" s="111">
        <v>4</v>
      </c>
      <c r="AP145" s="111">
        <v>4</v>
      </c>
      <c r="AQ145" s="111">
        <v>4</v>
      </c>
      <c r="AR145" s="111">
        <v>4</v>
      </c>
      <c r="AS145" s="111">
        <v>4</v>
      </c>
      <c r="AT145" s="111">
        <v>4</v>
      </c>
      <c r="AU145" s="111">
        <v>4</v>
      </c>
      <c r="AV145" s="50" t="s">
        <v>199</v>
      </c>
      <c r="AW145" s="50" t="s">
        <v>199</v>
      </c>
      <c r="AX145" s="50" t="s">
        <v>199</v>
      </c>
      <c r="AY145" s="50" t="s">
        <v>200</v>
      </c>
      <c r="AZ145" s="50" t="s">
        <v>200</v>
      </c>
      <c r="BA145" s="50" t="s">
        <v>200</v>
      </c>
      <c r="BB145" s="50" t="s">
        <v>200</v>
      </c>
      <c r="BC145" s="50" t="s">
        <v>200</v>
      </c>
      <c r="BD145" s="50" t="s">
        <v>200</v>
      </c>
      <c r="BE145" s="50" t="s">
        <v>200</v>
      </c>
      <c r="BF145" s="50" t="s">
        <v>200</v>
      </c>
      <c r="BG145" s="50" t="s">
        <v>200</v>
      </c>
      <c r="BH145" s="50" t="s">
        <v>200</v>
      </c>
      <c r="BI145" s="50" t="s">
        <v>200</v>
      </c>
      <c r="BJ145" s="50" t="s">
        <v>200</v>
      </c>
      <c r="BK145" s="50" t="s">
        <v>200</v>
      </c>
      <c r="BL145" s="50" t="s">
        <v>200</v>
      </c>
      <c r="BM145" s="50" t="s">
        <v>436</v>
      </c>
      <c r="BN145" s="50" t="s">
        <v>318</v>
      </c>
      <c r="BO145" s="50" t="s">
        <v>91</v>
      </c>
      <c r="BP145" s="50" t="s">
        <v>286</v>
      </c>
      <c r="BQ145" s="50" t="s">
        <v>287</v>
      </c>
      <c r="BR145" s="50" t="s">
        <v>403</v>
      </c>
      <c r="BS145" s="111">
        <v>5</v>
      </c>
      <c r="BT145" s="50" t="s">
        <v>286</v>
      </c>
      <c r="BU145" s="50" t="s">
        <v>532</v>
      </c>
      <c r="BV145" s="50" t="s">
        <v>288</v>
      </c>
      <c r="BW145" s="50" t="s">
        <v>303</v>
      </c>
      <c r="BX145" s="50" t="s">
        <v>296</v>
      </c>
      <c r="BY145" s="50" t="s">
        <v>288</v>
      </c>
      <c r="BZ145" s="50" t="s">
        <v>287</v>
      </c>
      <c r="CA145" s="50"/>
      <c r="CB145" s="50" t="s">
        <v>287</v>
      </c>
      <c r="CC145" s="50" t="s">
        <v>287</v>
      </c>
      <c r="CD145" s="50" t="s">
        <v>287</v>
      </c>
      <c r="CE145" s="50"/>
      <c r="CF145" s="50" t="s">
        <v>287</v>
      </c>
      <c r="CG145" s="50" t="s">
        <v>287</v>
      </c>
      <c r="CH145" s="50" t="s">
        <v>486</v>
      </c>
      <c r="CI145" s="50" t="s">
        <v>287</v>
      </c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1:97" ht="36.75" customHeight="1" thickBot="1">
      <c r="A146" s="49">
        <v>46086.348020833335</v>
      </c>
      <c r="B146" s="50" t="s">
        <v>38</v>
      </c>
      <c r="C146" s="50" t="s">
        <v>45</v>
      </c>
      <c r="D146" s="50" t="s">
        <v>369</v>
      </c>
      <c r="E146" s="50" t="s">
        <v>61</v>
      </c>
      <c r="F146" s="50" t="s">
        <v>286</v>
      </c>
      <c r="G146" s="50" t="s">
        <v>73</v>
      </c>
      <c r="H146" s="50" t="s">
        <v>286</v>
      </c>
      <c r="I146" s="50" t="s">
        <v>81</v>
      </c>
      <c r="J146" s="50" t="s">
        <v>286</v>
      </c>
      <c r="K146" s="50" t="s">
        <v>287</v>
      </c>
      <c r="L146" s="50" t="s">
        <v>336</v>
      </c>
      <c r="M146" s="50" t="s">
        <v>7</v>
      </c>
      <c r="N146" s="111">
        <v>5</v>
      </c>
      <c r="O146" s="111">
        <v>5</v>
      </c>
      <c r="P146" s="111">
        <v>5</v>
      </c>
      <c r="Q146" s="111">
        <v>5</v>
      </c>
      <c r="R146" s="111">
        <v>5</v>
      </c>
      <c r="S146" s="111">
        <v>5</v>
      </c>
      <c r="T146" s="111">
        <v>5</v>
      </c>
      <c r="U146" s="111">
        <v>5</v>
      </c>
      <c r="V146" s="111">
        <v>5</v>
      </c>
      <c r="W146" s="111">
        <v>5</v>
      </c>
      <c r="X146" s="111">
        <v>5</v>
      </c>
      <c r="Y146" s="111">
        <v>5</v>
      </c>
      <c r="Z146" s="111">
        <v>5</v>
      </c>
      <c r="AA146" s="111">
        <v>5</v>
      </c>
      <c r="AB146" s="111">
        <v>5</v>
      </c>
      <c r="AC146" s="111">
        <v>5</v>
      </c>
      <c r="AD146" s="111">
        <v>5</v>
      </c>
      <c r="AE146" s="111">
        <v>5</v>
      </c>
      <c r="AF146" s="111">
        <v>5</v>
      </c>
      <c r="AG146" s="111">
        <v>5</v>
      </c>
      <c r="AH146" s="111">
        <v>5</v>
      </c>
      <c r="AI146" s="111">
        <v>5</v>
      </c>
      <c r="AJ146" s="111">
        <v>5</v>
      </c>
      <c r="AK146" s="111">
        <v>5</v>
      </c>
      <c r="AL146" s="111">
        <v>5</v>
      </c>
      <c r="AM146" s="111">
        <v>5</v>
      </c>
      <c r="AN146" s="111">
        <v>5</v>
      </c>
      <c r="AO146" s="111">
        <v>5</v>
      </c>
      <c r="AP146" s="111">
        <v>5</v>
      </c>
      <c r="AQ146" s="111">
        <v>5</v>
      </c>
      <c r="AR146" s="111">
        <v>5</v>
      </c>
      <c r="AS146" s="111">
        <v>5</v>
      </c>
      <c r="AT146" s="111">
        <v>5</v>
      </c>
      <c r="AU146" s="111">
        <v>5</v>
      </c>
      <c r="AV146" s="50" t="s">
        <v>199</v>
      </c>
      <c r="AW146" s="50" t="s">
        <v>199</v>
      </c>
      <c r="AX146" s="50" t="s">
        <v>199</v>
      </c>
      <c r="AY146" s="50" t="s">
        <v>200</v>
      </c>
      <c r="AZ146" s="50" t="s">
        <v>200</v>
      </c>
      <c r="BA146" s="50" t="s">
        <v>200</v>
      </c>
      <c r="BB146" s="50" t="s">
        <v>200</v>
      </c>
      <c r="BC146" s="50" t="s">
        <v>200</v>
      </c>
      <c r="BD146" s="50" t="s">
        <v>200</v>
      </c>
      <c r="BE146" s="50" t="s">
        <v>200</v>
      </c>
      <c r="BF146" s="50" t="s">
        <v>200</v>
      </c>
      <c r="BG146" s="50" t="s">
        <v>200</v>
      </c>
      <c r="BH146" s="50" t="s">
        <v>200</v>
      </c>
      <c r="BI146" s="50" t="s">
        <v>200</v>
      </c>
      <c r="BJ146" s="50" t="s">
        <v>200</v>
      </c>
      <c r="BK146" s="50" t="s">
        <v>200</v>
      </c>
      <c r="BL146" s="50" t="s">
        <v>200</v>
      </c>
      <c r="BM146" s="50" t="s">
        <v>436</v>
      </c>
      <c r="BN146" s="50" t="s">
        <v>318</v>
      </c>
      <c r="BO146" s="50" t="s">
        <v>91</v>
      </c>
      <c r="BP146" s="50" t="s">
        <v>286</v>
      </c>
      <c r="BQ146" s="50" t="s">
        <v>287</v>
      </c>
      <c r="BR146" s="50" t="s">
        <v>403</v>
      </c>
      <c r="BS146" s="111">
        <v>4</v>
      </c>
      <c r="BT146" s="50" t="s">
        <v>286</v>
      </c>
      <c r="BU146" s="50" t="s">
        <v>312</v>
      </c>
      <c r="BV146" s="50" t="s">
        <v>288</v>
      </c>
      <c r="BW146" s="50" t="s">
        <v>303</v>
      </c>
      <c r="BX146" s="50" t="s">
        <v>296</v>
      </c>
      <c r="BY146" s="50" t="s">
        <v>288</v>
      </c>
      <c r="BZ146" s="50" t="s">
        <v>287</v>
      </c>
      <c r="CA146" s="50"/>
      <c r="CB146" s="50" t="s">
        <v>287</v>
      </c>
      <c r="CC146" s="50" t="s">
        <v>287</v>
      </c>
      <c r="CD146" s="50" t="s">
        <v>287</v>
      </c>
      <c r="CE146" s="50"/>
      <c r="CF146" s="50" t="s">
        <v>287</v>
      </c>
      <c r="CG146" s="50" t="s">
        <v>287</v>
      </c>
      <c r="CH146" s="50" t="s">
        <v>486</v>
      </c>
      <c r="CI146" s="50" t="s">
        <v>287</v>
      </c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1:97" ht="36.75" customHeight="1" thickBot="1">
      <c r="A147" s="49">
        <v>46086.351168981484</v>
      </c>
      <c r="B147" s="50" t="s">
        <v>40</v>
      </c>
      <c r="C147" s="50" t="s">
        <v>46</v>
      </c>
      <c r="D147" s="50" t="s">
        <v>374</v>
      </c>
      <c r="E147" s="50" t="s">
        <v>59</v>
      </c>
      <c r="F147" s="50" t="s">
        <v>286</v>
      </c>
      <c r="G147" s="50" t="s">
        <v>73</v>
      </c>
      <c r="H147" s="50" t="s">
        <v>307</v>
      </c>
      <c r="I147" s="50" t="s">
        <v>81</v>
      </c>
      <c r="J147" s="50" t="s">
        <v>286</v>
      </c>
      <c r="K147" s="50" t="s">
        <v>287</v>
      </c>
      <c r="L147" s="50" t="s">
        <v>336</v>
      </c>
      <c r="M147" s="50" t="s">
        <v>7</v>
      </c>
      <c r="N147" s="111">
        <v>5</v>
      </c>
      <c r="O147" s="111">
        <v>5</v>
      </c>
      <c r="P147" s="111">
        <v>5</v>
      </c>
      <c r="Q147" s="111">
        <v>5</v>
      </c>
      <c r="R147" s="111">
        <v>5</v>
      </c>
      <c r="S147" s="111">
        <v>5</v>
      </c>
      <c r="T147" s="111">
        <v>5</v>
      </c>
      <c r="U147" s="111">
        <v>5</v>
      </c>
      <c r="V147" s="111">
        <v>5</v>
      </c>
      <c r="W147" s="111">
        <v>5</v>
      </c>
      <c r="X147" s="111">
        <v>5</v>
      </c>
      <c r="Y147" s="111">
        <v>5</v>
      </c>
      <c r="Z147" s="111">
        <v>5</v>
      </c>
      <c r="AA147" s="111">
        <v>5</v>
      </c>
      <c r="AB147" s="111">
        <v>5</v>
      </c>
      <c r="AC147" s="111">
        <v>5</v>
      </c>
      <c r="AD147" s="111">
        <v>5</v>
      </c>
      <c r="AE147" s="111">
        <v>5</v>
      </c>
      <c r="AF147" s="111">
        <v>5</v>
      </c>
      <c r="AG147" s="111">
        <v>5</v>
      </c>
      <c r="AH147" s="111">
        <v>5</v>
      </c>
      <c r="AI147" s="111">
        <v>5</v>
      </c>
      <c r="AJ147" s="111">
        <v>5</v>
      </c>
      <c r="AK147" s="111">
        <v>5</v>
      </c>
      <c r="AL147" s="111">
        <v>5</v>
      </c>
      <c r="AM147" s="111">
        <v>5</v>
      </c>
      <c r="AN147" s="111">
        <v>5</v>
      </c>
      <c r="AO147" s="111">
        <v>5</v>
      </c>
      <c r="AP147" s="111">
        <v>5</v>
      </c>
      <c r="AQ147" s="111">
        <v>5</v>
      </c>
      <c r="AR147" s="111">
        <v>5</v>
      </c>
      <c r="AS147" s="111">
        <v>5</v>
      </c>
      <c r="AT147" s="111">
        <v>5</v>
      </c>
      <c r="AU147" s="111">
        <v>5</v>
      </c>
      <c r="AV147" s="50" t="s">
        <v>199</v>
      </c>
      <c r="AW147" s="50" t="s">
        <v>199</v>
      </c>
      <c r="AX147" s="50" t="s">
        <v>199</v>
      </c>
      <c r="AY147" s="50" t="s">
        <v>200</v>
      </c>
      <c r="AZ147" s="50" t="s">
        <v>200</v>
      </c>
      <c r="BA147" s="50" t="s">
        <v>200</v>
      </c>
      <c r="BB147" s="50" t="s">
        <v>200</v>
      </c>
      <c r="BC147" s="50" t="s">
        <v>200</v>
      </c>
      <c r="BD147" s="50" t="s">
        <v>200</v>
      </c>
      <c r="BE147" s="50" t="s">
        <v>200</v>
      </c>
      <c r="BF147" s="50" t="s">
        <v>200</v>
      </c>
      <c r="BG147" s="50" t="s">
        <v>200</v>
      </c>
      <c r="BH147" s="50" t="s">
        <v>200</v>
      </c>
      <c r="BI147" s="50" t="s">
        <v>200</v>
      </c>
      <c r="BJ147" s="50" t="s">
        <v>200</v>
      </c>
      <c r="BK147" s="50" t="s">
        <v>200</v>
      </c>
      <c r="BL147" s="50" t="s">
        <v>200</v>
      </c>
      <c r="BM147" s="50" t="s">
        <v>436</v>
      </c>
      <c r="BN147" s="50" t="s">
        <v>318</v>
      </c>
      <c r="BO147" s="50" t="s">
        <v>91</v>
      </c>
      <c r="BP147" s="50" t="s">
        <v>286</v>
      </c>
      <c r="BQ147" s="50" t="s">
        <v>219</v>
      </c>
      <c r="BR147" s="50" t="s">
        <v>382</v>
      </c>
      <c r="BS147" s="111">
        <v>4</v>
      </c>
      <c r="BT147" s="50" t="s">
        <v>286</v>
      </c>
      <c r="BU147" s="50" t="s">
        <v>312</v>
      </c>
      <c r="BV147" s="50" t="s">
        <v>288</v>
      </c>
      <c r="BW147" s="50" t="s">
        <v>289</v>
      </c>
      <c r="BX147" s="50" t="s">
        <v>296</v>
      </c>
      <c r="BY147" s="50" t="s">
        <v>288</v>
      </c>
      <c r="BZ147" s="50" t="s">
        <v>287</v>
      </c>
      <c r="CA147" s="50"/>
      <c r="CB147" s="50" t="s">
        <v>287</v>
      </c>
      <c r="CC147" s="50" t="s">
        <v>287</v>
      </c>
      <c r="CD147" s="50" t="s">
        <v>287</v>
      </c>
      <c r="CE147" s="50"/>
      <c r="CF147" s="50" t="s">
        <v>287</v>
      </c>
      <c r="CG147" s="50" t="s">
        <v>287</v>
      </c>
      <c r="CH147" s="50" t="s">
        <v>486</v>
      </c>
      <c r="CI147" s="50" t="s">
        <v>287</v>
      </c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1:97" ht="36.75" customHeight="1" thickBot="1">
      <c r="A148" s="49">
        <v>46086.353831018518</v>
      </c>
      <c r="B148" s="50" t="s">
        <v>40</v>
      </c>
      <c r="C148" s="50" t="s">
        <v>45</v>
      </c>
      <c r="D148" s="50" t="s">
        <v>374</v>
      </c>
      <c r="E148" s="50" t="s">
        <v>61</v>
      </c>
      <c r="F148" s="50" t="s">
        <v>286</v>
      </c>
      <c r="G148" s="50" t="s">
        <v>73</v>
      </c>
      <c r="H148" s="50" t="s">
        <v>346</v>
      </c>
      <c r="I148" s="50" t="s">
        <v>81</v>
      </c>
      <c r="J148" s="50" t="s">
        <v>286</v>
      </c>
      <c r="K148" s="50" t="s">
        <v>287</v>
      </c>
      <c r="L148" s="50" t="s">
        <v>336</v>
      </c>
      <c r="M148" s="50" t="s">
        <v>7</v>
      </c>
      <c r="N148" s="111">
        <v>5</v>
      </c>
      <c r="O148" s="111">
        <v>5</v>
      </c>
      <c r="P148" s="111">
        <v>5</v>
      </c>
      <c r="Q148" s="111">
        <v>5</v>
      </c>
      <c r="R148" s="111">
        <v>5</v>
      </c>
      <c r="S148" s="111">
        <v>5</v>
      </c>
      <c r="T148" s="111">
        <v>5</v>
      </c>
      <c r="U148" s="111">
        <v>5</v>
      </c>
      <c r="V148" s="111">
        <v>5</v>
      </c>
      <c r="W148" s="111">
        <v>5</v>
      </c>
      <c r="X148" s="111">
        <v>5</v>
      </c>
      <c r="Y148" s="111">
        <v>5</v>
      </c>
      <c r="Z148" s="111">
        <v>5</v>
      </c>
      <c r="AA148" s="111">
        <v>5</v>
      </c>
      <c r="AB148" s="111">
        <v>5</v>
      </c>
      <c r="AC148" s="111">
        <v>5</v>
      </c>
      <c r="AD148" s="111">
        <v>5</v>
      </c>
      <c r="AE148" s="111">
        <v>5</v>
      </c>
      <c r="AF148" s="111">
        <v>5</v>
      </c>
      <c r="AG148" s="111">
        <v>5</v>
      </c>
      <c r="AH148" s="111">
        <v>5</v>
      </c>
      <c r="AI148" s="111">
        <v>5</v>
      </c>
      <c r="AJ148" s="111">
        <v>5</v>
      </c>
      <c r="AK148" s="111">
        <v>5</v>
      </c>
      <c r="AL148" s="111">
        <v>5</v>
      </c>
      <c r="AM148" s="111">
        <v>5</v>
      </c>
      <c r="AN148" s="111">
        <v>5</v>
      </c>
      <c r="AO148" s="111">
        <v>5</v>
      </c>
      <c r="AP148" s="111">
        <v>5</v>
      </c>
      <c r="AQ148" s="111">
        <v>5</v>
      </c>
      <c r="AR148" s="111">
        <v>5</v>
      </c>
      <c r="AS148" s="111">
        <v>5</v>
      </c>
      <c r="AT148" s="111">
        <v>5</v>
      </c>
      <c r="AU148" s="111">
        <v>5</v>
      </c>
      <c r="AV148" s="50" t="s">
        <v>199</v>
      </c>
      <c r="AW148" s="50" t="s">
        <v>199</v>
      </c>
      <c r="AX148" s="50" t="s">
        <v>199</v>
      </c>
      <c r="AY148" s="50" t="s">
        <v>200</v>
      </c>
      <c r="AZ148" s="50" t="s">
        <v>200</v>
      </c>
      <c r="BA148" s="50" t="s">
        <v>200</v>
      </c>
      <c r="BB148" s="50" t="s">
        <v>200</v>
      </c>
      <c r="BC148" s="50" t="s">
        <v>200</v>
      </c>
      <c r="BD148" s="50" t="s">
        <v>200</v>
      </c>
      <c r="BE148" s="50" t="s">
        <v>200</v>
      </c>
      <c r="BF148" s="50" t="s">
        <v>200</v>
      </c>
      <c r="BG148" s="50" t="s">
        <v>200</v>
      </c>
      <c r="BH148" s="50" t="s">
        <v>200</v>
      </c>
      <c r="BI148" s="50" t="s">
        <v>200</v>
      </c>
      <c r="BJ148" s="50" t="s">
        <v>200</v>
      </c>
      <c r="BK148" s="50" t="s">
        <v>200</v>
      </c>
      <c r="BL148" s="50" t="s">
        <v>200</v>
      </c>
      <c r="BM148" s="50" t="s">
        <v>436</v>
      </c>
      <c r="BN148" s="50" t="s">
        <v>318</v>
      </c>
      <c r="BO148" s="50" t="s">
        <v>91</v>
      </c>
      <c r="BP148" s="50" t="s">
        <v>286</v>
      </c>
      <c r="BQ148" s="50" t="s">
        <v>287</v>
      </c>
      <c r="BR148" s="50" t="s">
        <v>404</v>
      </c>
      <c r="BS148" s="111">
        <v>4</v>
      </c>
      <c r="BT148" s="50" t="s">
        <v>286</v>
      </c>
      <c r="BU148" s="50" t="s">
        <v>312</v>
      </c>
      <c r="BV148" s="50" t="s">
        <v>288</v>
      </c>
      <c r="BW148" s="50" t="s">
        <v>293</v>
      </c>
      <c r="BX148" s="50" t="s">
        <v>294</v>
      </c>
      <c r="BY148" s="50" t="s">
        <v>288</v>
      </c>
      <c r="BZ148" s="50" t="s">
        <v>287</v>
      </c>
      <c r="CA148" s="50"/>
      <c r="CB148" s="50" t="s">
        <v>287</v>
      </c>
      <c r="CC148" s="50" t="s">
        <v>287</v>
      </c>
      <c r="CD148" s="50" t="s">
        <v>287</v>
      </c>
      <c r="CE148" s="50"/>
      <c r="CF148" s="50" t="s">
        <v>287</v>
      </c>
      <c r="CG148" s="50" t="s">
        <v>287</v>
      </c>
      <c r="CH148" s="50" t="s">
        <v>486</v>
      </c>
      <c r="CI148" s="50" t="s">
        <v>287</v>
      </c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1:97" ht="36.75" customHeight="1" thickBot="1">
      <c r="A149" s="49">
        <v>46086.3594212963</v>
      </c>
      <c r="B149" s="50" t="s">
        <v>40</v>
      </c>
      <c r="C149" s="50" t="s">
        <v>45</v>
      </c>
      <c r="D149" s="50" t="s">
        <v>374</v>
      </c>
      <c r="E149" s="50" t="s">
        <v>60</v>
      </c>
      <c r="F149" s="50" t="s">
        <v>286</v>
      </c>
      <c r="G149" s="50" t="s">
        <v>73</v>
      </c>
      <c r="H149" s="50" t="s">
        <v>357</v>
      </c>
      <c r="I149" s="50" t="s">
        <v>81</v>
      </c>
      <c r="J149" s="50" t="s">
        <v>286</v>
      </c>
      <c r="K149" s="50" t="s">
        <v>287</v>
      </c>
      <c r="L149" s="50" t="s">
        <v>336</v>
      </c>
      <c r="M149" s="50" t="s">
        <v>7</v>
      </c>
      <c r="N149" s="111">
        <v>5</v>
      </c>
      <c r="O149" s="111">
        <v>5</v>
      </c>
      <c r="P149" s="111">
        <v>5</v>
      </c>
      <c r="Q149" s="111">
        <v>5</v>
      </c>
      <c r="R149" s="111">
        <v>5</v>
      </c>
      <c r="S149" s="111">
        <v>5</v>
      </c>
      <c r="T149" s="111">
        <v>5</v>
      </c>
      <c r="U149" s="111">
        <v>5</v>
      </c>
      <c r="V149" s="111">
        <v>5</v>
      </c>
      <c r="W149" s="111">
        <v>5</v>
      </c>
      <c r="X149" s="111">
        <v>5</v>
      </c>
      <c r="Y149" s="111">
        <v>5</v>
      </c>
      <c r="Z149" s="111">
        <v>5</v>
      </c>
      <c r="AA149" s="111">
        <v>5</v>
      </c>
      <c r="AB149" s="111">
        <v>5</v>
      </c>
      <c r="AC149" s="111">
        <v>5</v>
      </c>
      <c r="AD149" s="111">
        <v>5</v>
      </c>
      <c r="AE149" s="111">
        <v>5</v>
      </c>
      <c r="AF149" s="111">
        <v>5</v>
      </c>
      <c r="AG149" s="111">
        <v>5</v>
      </c>
      <c r="AH149" s="111">
        <v>5</v>
      </c>
      <c r="AI149" s="111">
        <v>5</v>
      </c>
      <c r="AJ149" s="111">
        <v>5</v>
      </c>
      <c r="AK149" s="111">
        <v>5</v>
      </c>
      <c r="AL149" s="111">
        <v>5</v>
      </c>
      <c r="AM149" s="111">
        <v>5</v>
      </c>
      <c r="AN149" s="111">
        <v>5</v>
      </c>
      <c r="AO149" s="111">
        <v>5</v>
      </c>
      <c r="AP149" s="111">
        <v>5</v>
      </c>
      <c r="AQ149" s="111">
        <v>5</v>
      </c>
      <c r="AR149" s="111">
        <v>5</v>
      </c>
      <c r="AS149" s="111">
        <v>5</v>
      </c>
      <c r="AT149" s="111">
        <v>5</v>
      </c>
      <c r="AU149" s="111">
        <v>5</v>
      </c>
      <c r="AV149" s="50" t="s">
        <v>199</v>
      </c>
      <c r="AW149" s="50" t="s">
        <v>199</v>
      </c>
      <c r="AX149" s="50" t="s">
        <v>199</v>
      </c>
      <c r="AY149" s="50" t="s">
        <v>200</v>
      </c>
      <c r="AZ149" s="50" t="s">
        <v>200</v>
      </c>
      <c r="BA149" s="50" t="s">
        <v>200</v>
      </c>
      <c r="BB149" s="50" t="s">
        <v>200</v>
      </c>
      <c r="BC149" s="50" t="s">
        <v>200</v>
      </c>
      <c r="BD149" s="50" t="s">
        <v>200</v>
      </c>
      <c r="BE149" s="50" t="s">
        <v>200</v>
      </c>
      <c r="BF149" s="50" t="s">
        <v>200</v>
      </c>
      <c r="BG149" s="50" t="s">
        <v>200</v>
      </c>
      <c r="BH149" s="50" t="s">
        <v>200</v>
      </c>
      <c r="BI149" s="50" t="s">
        <v>200</v>
      </c>
      <c r="BJ149" s="50" t="s">
        <v>200</v>
      </c>
      <c r="BK149" s="50" t="s">
        <v>200</v>
      </c>
      <c r="BL149" s="50" t="s">
        <v>200</v>
      </c>
      <c r="BM149" s="50" t="s">
        <v>436</v>
      </c>
      <c r="BN149" s="50" t="s">
        <v>318</v>
      </c>
      <c r="BO149" s="50" t="s">
        <v>91</v>
      </c>
      <c r="BP149" s="50" t="s">
        <v>286</v>
      </c>
      <c r="BQ149" s="50" t="s">
        <v>287</v>
      </c>
      <c r="BR149" s="50" t="s">
        <v>403</v>
      </c>
      <c r="BS149" s="111">
        <v>4</v>
      </c>
      <c r="BT149" s="50" t="s">
        <v>286</v>
      </c>
      <c r="BU149" s="50" t="s">
        <v>312</v>
      </c>
      <c r="BV149" s="50" t="s">
        <v>288</v>
      </c>
      <c r="BW149" s="50" t="s">
        <v>303</v>
      </c>
      <c r="BX149" s="50" t="s">
        <v>296</v>
      </c>
      <c r="BY149" s="50" t="s">
        <v>288</v>
      </c>
      <c r="BZ149" s="50" t="s">
        <v>287</v>
      </c>
      <c r="CA149" s="50"/>
      <c r="CB149" s="50" t="s">
        <v>287</v>
      </c>
      <c r="CC149" s="50" t="s">
        <v>287</v>
      </c>
      <c r="CD149" s="50" t="s">
        <v>287</v>
      </c>
      <c r="CE149" s="50"/>
      <c r="CF149" s="50" t="s">
        <v>287</v>
      </c>
      <c r="CG149" s="50" t="s">
        <v>287</v>
      </c>
      <c r="CH149" s="50" t="s">
        <v>486</v>
      </c>
      <c r="CI149" s="50" t="s">
        <v>287</v>
      </c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1:97" ht="36.75" customHeight="1" thickBot="1">
      <c r="A150" s="49">
        <v>46086.361805555556</v>
      </c>
      <c r="B150" s="50" t="s">
        <v>40</v>
      </c>
      <c r="C150" s="50" t="s">
        <v>45</v>
      </c>
      <c r="D150" s="50" t="s">
        <v>374</v>
      </c>
      <c r="E150" s="50" t="s">
        <v>59</v>
      </c>
      <c r="F150" s="50" t="s">
        <v>286</v>
      </c>
      <c r="G150" s="50" t="s">
        <v>73</v>
      </c>
      <c r="H150" s="50" t="s">
        <v>320</v>
      </c>
      <c r="I150" s="50" t="s">
        <v>81</v>
      </c>
      <c r="J150" s="50" t="s">
        <v>286</v>
      </c>
      <c r="K150" s="50" t="s">
        <v>287</v>
      </c>
      <c r="L150" s="50" t="s">
        <v>336</v>
      </c>
      <c r="M150" s="50" t="s">
        <v>7</v>
      </c>
      <c r="N150" s="111">
        <v>5</v>
      </c>
      <c r="O150" s="111">
        <v>5</v>
      </c>
      <c r="P150" s="111">
        <v>5</v>
      </c>
      <c r="Q150" s="111">
        <v>5</v>
      </c>
      <c r="R150" s="111">
        <v>5</v>
      </c>
      <c r="S150" s="111">
        <v>5</v>
      </c>
      <c r="T150" s="111">
        <v>5</v>
      </c>
      <c r="U150" s="111">
        <v>5</v>
      </c>
      <c r="V150" s="111">
        <v>5</v>
      </c>
      <c r="W150" s="111">
        <v>5</v>
      </c>
      <c r="X150" s="111">
        <v>5</v>
      </c>
      <c r="Y150" s="111">
        <v>5</v>
      </c>
      <c r="Z150" s="111">
        <v>5</v>
      </c>
      <c r="AA150" s="111">
        <v>5</v>
      </c>
      <c r="AB150" s="111">
        <v>5</v>
      </c>
      <c r="AC150" s="111">
        <v>5</v>
      </c>
      <c r="AD150" s="111">
        <v>5</v>
      </c>
      <c r="AE150" s="111">
        <v>5</v>
      </c>
      <c r="AF150" s="111">
        <v>5</v>
      </c>
      <c r="AG150" s="111">
        <v>5</v>
      </c>
      <c r="AH150" s="111">
        <v>5</v>
      </c>
      <c r="AI150" s="111">
        <v>5</v>
      </c>
      <c r="AJ150" s="111">
        <v>5</v>
      </c>
      <c r="AK150" s="111">
        <v>5</v>
      </c>
      <c r="AL150" s="111">
        <v>5</v>
      </c>
      <c r="AM150" s="111">
        <v>5</v>
      </c>
      <c r="AN150" s="111">
        <v>5</v>
      </c>
      <c r="AO150" s="111">
        <v>5</v>
      </c>
      <c r="AP150" s="111">
        <v>5</v>
      </c>
      <c r="AQ150" s="111">
        <v>5</v>
      </c>
      <c r="AR150" s="111">
        <v>5</v>
      </c>
      <c r="AS150" s="111">
        <v>5</v>
      </c>
      <c r="AT150" s="111">
        <v>5</v>
      </c>
      <c r="AU150" s="111">
        <v>5</v>
      </c>
      <c r="AV150" s="50" t="s">
        <v>199</v>
      </c>
      <c r="AW150" s="50" t="s">
        <v>199</v>
      </c>
      <c r="AX150" s="50" t="s">
        <v>199</v>
      </c>
      <c r="AY150" s="50" t="s">
        <v>200</v>
      </c>
      <c r="AZ150" s="50" t="s">
        <v>200</v>
      </c>
      <c r="BA150" s="50" t="s">
        <v>200</v>
      </c>
      <c r="BB150" s="50" t="s">
        <v>200</v>
      </c>
      <c r="BC150" s="50" t="s">
        <v>200</v>
      </c>
      <c r="BD150" s="50" t="s">
        <v>200</v>
      </c>
      <c r="BE150" s="50" t="s">
        <v>200</v>
      </c>
      <c r="BF150" s="50" t="s">
        <v>200</v>
      </c>
      <c r="BG150" s="50" t="s">
        <v>200</v>
      </c>
      <c r="BH150" s="50" t="s">
        <v>200</v>
      </c>
      <c r="BI150" s="50" t="s">
        <v>200</v>
      </c>
      <c r="BJ150" s="50" t="s">
        <v>200</v>
      </c>
      <c r="BK150" s="50" t="s">
        <v>200</v>
      </c>
      <c r="BL150" s="50" t="s">
        <v>200</v>
      </c>
      <c r="BM150" s="50" t="s">
        <v>436</v>
      </c>
      <c r="BN150" s="50" t="s">
        <v>318</v>
      </c>
      <c r="BO150" s="50" t="s">
        <v>91</v>
      </c>
      <c r="BP150" s="50" t="s">
        <v>286</v>
      </c>
      <c r="BQ150" s="50" t="s">
        <v>287</v>
      </c>
      <c r="BR150" s="50" t="s">
        <v>305</v>
      </c>
      <c r="BS150" s="111">
        <v>4</v>
      </c>
      <c r="BT150" s="50" t="s">
        <v>286</v>
      </c>
      <c r="BU150" s="50" t="s">
        <v>312</v>
      </c>
      <c r="BV150" s="50" t="s">
        <v>288</v>
      </c>
      <c r="BW150" s="50" t="s">
        <v>289</v>
      </c>
      <c r="BX150" s="50" t="s">
        <v>290</v>
      </c>
      <c r="BY150" s="50" t="s">
        <v>288</v>
      </c>
      <c r="BZ150" s="50" t="s">
        <v>287</v>
      </c>
      <c r="CA150" s="50"/>
      <c r="CB150" s="50" t="s">
        <v>287</v>
      </c>
      <c r="CC150" s="50" t="s">
        <v>287</v>
      </c>
      <c r="CD150" s="50" t="s">
        <v>287</v>
      </c>
      <c r="CE150" s="50"/>
      <c r="CF150" s="50" t="s">
        <v>287</v>
      </c>
      <c r="CG150" s="50" t="s">
        <v>287</v>
      </c>
      <c r="CH150" s="50" t="s">
        <v>486</v>
      </c>
      <c r="CI150" s="50" t="s">
        <v>287</v>
      </c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1:97" ht="36.75" customHeight="1" thickBot="1">
      <c r="A151" s="49">
        <v>46086.369270833333</v>
      </c>
      <c r="B151" s="50" t="s">
        <v>36</v>
      </c>
      <c r="C151" s="50" t="s">
        <v>46</v>
      </c>
      <c r="D151" s="50" t="s">
        <v>369</v>
      </c>
      <c r="E151" s="50" t="s">
        <v>285</v>
      </c>
      <c r="F151" s="50" t="s">
        <v>286</v>
      </c>
      <c r="G151" s="50" t="s">
        <v>73</v>
      </c>
      <c r="H151" s="50" t="s">
        <v>487</v>
      </c>
      <c r="I151" s="50" t="s">
        <v>92</v>
      </c>
      <c r="J151" s="50" t="s">
        <v>286</v>
      </c>
      <c r="K151" s="50" t="s">
        <v>287</v>
      </c>
      <c r="L151" s="50" t="s">
        <v>336</v>
      </c>
      <c r="M151" s="50" t="s">
        <v>7</v>
      </c>
      <c r="N151" s="111">
        <v>5</v>
      </c>
      <c r="O151" s="111">
        <v>5</v>
      </c>
      <c r="P151" s="111">
        <v>5</v>
      </c>
      <c r="Q151" s="111">
        <v>5</v>
      </c>
      <c r="R151" s="111">
        <v>5</v>
      </c>
      <c r="S151" s="111">
        <v>5</v>
      </c>
      <c r="T151" s="111">
        <v>5</v>
      </c>
      <c r="U151" s="111">
        <v>5</v>
      </c>
      <c r="V151" s="111">
        <v>5</v>
      </c>
      <c r="W151" s="111">
        <v>5</v>
      </c>
      <c r="X151" s="111">
        <v>5</v>
      </c>
      <c r="Y151" s="111">
        <v>5</v>
      </c>
      <c r="Z151" s="111">
        <v>5</v>
      </c>
      <c r="AA151" s="111">
        <v>5</v>
      </c>
      <c r="AB151" s="111">
        <v>5</v>
      </c>
      <c r="AC151" s="111">
        <v>5</v>
      </c>
      <c r="AD151" s="111">
        <v>5</v>
      </c>
      <c r="AE151" s="111">
        <v>5</v>
      </c>
      <c r="AF151" s="111">
        <v>5</v>
      </c>
      <c r="AG151" s="111">
        <v>5</v>
      </c>
      <c r="AH151" s="111">
        <v>5</v>
      </c>
      <c r="AI151" s="111">
        <v>5</v>
      </c>
      <c r="AJ151" s="111">
        <v>5</v>
      </c>
      <c r="AK151" s="111">
        <v>5</v>
      </c>
      <c r="AL151" s="111">
        <v>5</v>
      </c>
      <c r="AM151" s="111">
        <v>5</v>
      </c>
      <c r="AN151" s="111">
        <v>5</v>
      </c>
      <c r="AO151" s="111">
        <v>5</v>
      </c>
      <c r="AP151" s="111">
        <v>5</v>
      </c>
      <c r="AQ151" s="111">
        <v>5</v>
      </c>
      <c r="AR151" s="111">
        <v>5</v>
      </c>
      <c r="AS151" s="111">
        <v>5</v>
      </c>
      <c r="AT151" s="111">
        <v>5</v>
      </c>
      <c r="AU151" s="111">
        <v>5</v>
      </c>
      <c r="AV151" s="50" t="s">
        <v>199</v>
      </c>
      <c r="AW151" s="50" t="s">
        <v>199</v>
      </c>
      <c r="AX151" s="50" t="s">
        <v>199</v>
      </c>
      <c r="AY151" s="50" t="s">
        <v>200</v>
      </c>
      <c r="AZ151" s="50" t="s">
        <v>200</v>
      </c>
      <c r="BA151" s="50" t="s">
        <v>200</v>
      </c>
      <c r="BB151" s="50" t="s">
        <v>200</v>
      </c>
      <c r="BC151" s="50" t="s">
        <v>200</v>
      </c>
      <c r="BD151" s="50" t="s">
        <v>200</v>
      </c>
      <c r="BE151" s="50" t="s">
        <v>200</v>
      </c>
      <c r="BF151" s="50" t="s">
        <v>200</v>
      </c>
      <c r="BG151" s="50" t="s">
        <v>200</v>
      </c>
      <c r="BH151" s="50" t="s">
        <v>200</v>
      </c>
      <c r="BI151" s="50" t="s">
        <v>200</v>
      </c>
      <c r="BJ151" s="50" t="s">
        <v>200</v>
      </c>
      <c r="BK151" s="50" t="s">
        <v>200</v>
      </c>
      <c r="BL151" s="50" t="s">
        <v>200</v>
      </c>
      <c r="BM151" s="50" t="s">
        <v>436</v>
      </c>
      <c r="BN151" s="50" t="s">
        <v>318</v>
      </c>
      <c r="BO151" s="50" t="s">
        <v>91</v>
      </c>
      <c r="BP151" s="50" t="s">
        <v>286</v>
      </c>
      <c r="BQ151" s="50" t="s">
        <v>287</v>
      </c>
      <c r="BR151" s="50" t="s">
        <v>407</v>
      </c>
      <c r="BS151" s="111">
        <v>4</v>
      </c>
      <c r="BT151" s="50" t="s">
        <v>286</v>
      </c>
      <c r="BU151" s="50" t="s">
        <v>312</v>
      </c>
      <c r="BV151" s="50" t="s">
        <v>288</v>
      </c>
      <c r="BW151" s="50" t="s">
        <v>297</v>
      </c>
      <c r="BX151" s="50" t="s">
        <v>296</v>
      </c>
      <c r="BY151" s="50" t="s">
        <v>288</v>
      </c>
      <c r="BZ151" s="50" t="s">
        <v>287</v>
      </c>
      <c r="CA151" s="50"/>
      <c r="CB151" s="50" t="s">
        <v>287</v>
      </c>
      <c r="CC151" s="50" t="s">
        <v>287</v>
      </c>
      <c r="CD151" s="50" t="s">
        <v>287</v>
      </c>
      <c r="CE151" s="50"/>
      <c r="CF151" s="50" t="s">
        <v>287</v>
      </c>
      <c r="CG151" s="50" t="s">
        <v>287</v>
      </c>
      <c r="CH151" s="50" t="s">
        <v>486</v>
      </c>
      <c r="CI151" s="50" t="s">
        <v>287</v>
      </c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1:97" ht="36.75" customHeight="1" thickBot="1">
      <c r="A152" s="49">
        <v>46086.372407407405</v>
      </c>
      <c r="B152" s="50" t="s">
        <v>40</v>
      </c>
      <c r="C152" s="50" t="s">
        <v>45</v>
      </c>
      <c r="D152" s="50" t="s">
        <v>369</v>
      </c>
      <c r="E152" s="50" t="s">
        <v>61</v>
      </c>
      <c r="F152" s="50" t="s">
        <v>286</v>
      </c>
      <c r="G152" s="50" t="s">
        <v>73</v>
      </c>
      <c r="H152" s="50" t="s">
        <v>286</v>
      </c>
      <c r="I152" s="50" t="s">
        <v>81</v>
      </c>
      <c r="J152" s="50" t="s">
        <v>286</v>
      </c>
      <c r="K152" s="50" t="s">
        <v>287</v>
      </c>
      <c r="L152" s="50" t="s">
        <v>336</v>
      </c>
      <c r="M152" s="50" t="s">
        <v>7</v>
      </c>
      <c r="N152" s="111">
        <v>5</v>
      </c>
      <c r="O152" s="111">
        <v>5</v>
      </c>
      <c r="P152" s="111">
        <v>5</v>
      </c>
      <c r="Q152" s="111">
        <v>5</v>
      </c>
      <c r="R152" s="111">
        <v>5</v>
      </c>
      <c r="S152" s="111">
        <v>5</v>
      </c>
      <c r="T152" s="111">
        <v>5</v>
      </c>
      <c r="U152" s="111">
        <v>5</v>
      </c>
      <c r="V152" s="111">
        <v>5</v>
      </c>
      <c r="W152" s="111">
        <v>5</v>
      </c>
      <c r="X152" s="111">
        <v>5</v>
      </c>
      <c r="Y152" s="111">
        <v>5</v>
      </c>
      <c r="Z152" s="111">
        <v>5</v>
      </c>
      <c r="AA152" s="111">
        <v>5</v>
      </c>
      <c r="AB152" s="111">
        <v>5</v>
      </c>
      <c r="AC152" s="111">
        <v>5</v>
      </c>
      <c r="AD152" s="111">
        <v>5</v>
      </c>
      <c r="AE152" s="111">
        <v>5</v>
      </c>
      <c r="AF152" s="111">
        <v>5</v>
      </c>
      <c r="AG152" s="111">
        <v>5</v>
      </c>
      <c r="AH152" s="111">
        <v>5</v>
      </c>
      <c r="AI152" s="111">
        <v>5</v>
      </c>
      <c r="AJ152" s="111">
        <v>5</v>
      </c>
      <c r="AK152" s="111">
        <v>5</v>
      </c>
      <c r="AL152" s="111">
        <v>5</v>
      </c>
      <c r="AM152" s="111">
        <v>5</v>
      </c>
      <c r="AN152" s="111">
        <v>5</v>
      </c>
      <c r="AO152" s="111">
        <v>5</v>
      </c>
      <c r="AP152" s="111">
        <v>5</v>
      </c>
      <c r="AQ152" s="111">
        <v>5</v>
      </c>
      <c r="AR152" s="111">
        <v>5</v>
      </c>
      <c r="AS152" s="111">
        <v>5</v>
      </c>
      <c r="AT152" s="111">
        <v>5</v>
      </c>
      <c r="AU152" s="111">
        <v>5</v>
      </c>
      <c r="AV152" s="50" t="s">
        <v>199</v>
      </c>
      <c r="AW152" s="50" t="s">
        <v>199</v>
      </c>
      <c r="AX152" s="50" t="s">
        <v>199</v>
      </c>
      <c r="AY152" s="50" t="s">
        <v>200</v>
      </c>
      <c r="AZ152" s="50" t="s">
        <v>200</v>
      </c>
      <c r="BA152" s="50" t="s">
        <v>200</v>
      </c>
      <c r="BB152" s="50" t="s">
        <v>200</v>
      </c>
      <c r="BC152" s="50" t="s">
        <v>200</v>
      </c>
      <c r="BD152" s="50" t="s">
        <v>200</v>
      </c>
      <c r="BE152" s="50" t="s">
        <v>200</v>
      </c>
      <c r="BF152" s="50" t="s">
        <v>200</v>
      </c>
      <c r="BG152" s="50" t="s">
        <v>200</v>
      </c>
      <c r="BH152" s="50" t="s">
        <v>200</v>
      </c>
      <c r="BI152" s="50" t="s">
        <v>200</v>
      </c>
      <c r="BJ152" s="50" t="s">
        <v>200</v>
      </c>
      <c r="BK152" s="50" t="s">
        <v>200</v>
      </c>
      <c r="BL152" s="50" t="s">
        <v>200</v>
      </c>
      <c r="BM152" s="50" t="s">
        <v>436</v>
      </c>
      <c r="BN152" s="50" t="s">
        <v>318</v>
      </c>
      <c r="BO152" s="50" t="s">
        <v>91</v>
      </c>
      <c r="BP152" s="50" t="s">
        <v>286</v>
      </c>
      <c r="BQ152" s="50" t="s">
        <v>287</v>
      </c>
      <c r="BR152" s="50" t="s">
        <v>403</v>
      </c>
      <c r="BS152" s="111">
        <v>4</v>
      </c>
      <c r="BT152" s="50" t="s">
        <v>286</v>
      </c>
      <c r="BU152" s="50" t="s">
        <v>312</v>
      </c>
      <c r="BV152" s="50" t="s">
        <v>288</v>
      </c>
      <c r="BW152" s="50" t="s">
        <v>293</v>
      </c>
      <c r="BX152" s="50" t="s">
        <v>296</v>
      </c>
      <c r="BY152" s="50" t="s">
        <v>288</v>
      </c>
      <c r="BZ152" s="50" t="s">
        <v>287</v>
      </c>
      <c r="CA152" s="50"/>
      <c r="CB152" s="50" t="s">
        <v>287</v>
      </c>
      <c r="CC152" s="50" t="s">
        <v>287</v>
      </c>
      <c r="CD152" s="50" t="s">
        <v>287</v>
      </c>
      <c r="CE152" s="50"/>
      <c r="CF152" s="50" t="s">
        <v>287</v>
      </c>
      <c r="CG152" s="50" t="s">
        <v>287</v>
      </c>
      <c r="CH152" s="50" t="s">
        <v>486</v>
      </c>
      <c r="CI152" s="50" t="s">
        <v>287</v>
      </c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1:97" ht="36.75" customHeight="1" thickBot="1">
      <c r="A153" s="49">
        <v>46086.374571759261</v>
      </c>
      <c r="B153" s="50" t="s">
        <v>39</v>
      </c>
      <c r="C153" s="50" t="s">
        <v>45</v>
      </c>
      <c r="D153" s="50" t="s">
        <v>374</v>
      </c>
      <c r="E153" s="50" t="s">
        <v>66</v>
      </c>
      <c r="F153" s="50" t="s">
        <v>286</v>
      </c>
      <c r="G153" s="50" t="s">
        <v>73</v>
      </c>
      <c r="H153" s="50" t="s">
        <v>322</v>
      </c>
      <c r="I153" s="50" t="s">
        <v>92</v>
      </c>
      <c r="J153" s="50" t="s">
        <v>286</v>
      </c>
      <c r="K153" s="50" t="s">
        <v>287</v>
      </c>
      <c r="L153" s="50" t="s">
        <v>336</v>
      </c>
      <c r="M153" s="50" t="s">
        <v>7</v>
      </c>
      <c r="N153" s="111">
        <v>5</v>
      </c>
      <c r="O153" s="111">
        <v>5</v>
      </c>
      <c r="P153" s="111">
        <v>5</v>
      </c>
      <c r="Q153" s="111">
        <v>5</v>
      </c>
      <c r="R153" s="111">
        <v>5</v>
      </c>
      <c r="S153" s="111">
        <v>5</v>
      </c>
      <c r="T153" s="111">
        <v>5</v>
      </c>
      <c r="U153" s="111">
        <v>5</v>
      </c>
      <c r="V153" s="111">
        <v>5</v>
      </c>
      <c r="W153" s="111">
        <v>5</v>
      </c>
      <c r="X153" s="111">
        <v>5</v>
      </c>
      <c r="Y153" s="111">
        <v>5</v>
      </c>
      <c r="Z153" s="111">
        <v>5</v>
      </c>
      <c r="AA153" s="111">
        <v>5</v>
      </c>
      <c r="AB153" s="111">
        <v>5</v>
      </c>
      <c r="AC153" s="111">
        <v>5</v>
      </c>
      <c r="AD153" s="111">
        <v>5</v>
      </c>
      <c r="AE153" s="111">
        <v>5</v>
      </c>
      <c r="AF153" s="111">
        <v>5</v>
      </c>
      <c r="AG153" s="111">
        <v>5</v>
      </c>
      <c r="AH153" s="111">
        <v>5</v>
      </c>
      <c r="AI153" s="111">
        <v>5</v>
      </c>
      <c r="AJ153" s="111">
        <v>5</v>
      </c>
      <c r="AK153" s="111">
        <v>5</v>
      </c>
      <c r="AL153" s="111">
        <v>5</v>
      </c>
      <c r="AM153" s="111">
        <v>5</v>
      </c>
      <c r="AN153" s="111">
        <v>5</v>
      </c>
      <c r="AO153" s="111">
        <v>5</v>
      </c>
      <c r="AP153" s="111">
        <v>5</v>
      </c>
      <c r="AQ153" s="111">
        <v>5</v>
      </c>
      <c r="AR153" s="111">
        <v>5</v>
      </c>
      <c r="AS153" s="111">
        <v>5</v>
      </c>
      <c r="AT153" s="111">
        <v>5</v>
      </c>
      <c r="AU153" s="111">
        <v>5</v>
      </c>
      <c r="AV153" s="50" t="s">
        <v>199</v>
      </c>
      <c r="AW153" s="50" t="s">
        <v>199</v>
      </c>
      <c r="AX153" s="50" t="s">
        <v>199</v>
      </c>
      <c r="AY153" s="50" t="s">
        <v>200</v>
      </c>
      <c r="AZ153" s="50" t="s">
        <v>200</v>
      </c>
      <c r="BA153" s="50" t="s">
        <v>200</v>
      </c>
      <c r="BB153" s="50" t="s">
        <v>200</v>
      </c>
      <c r="BC153" s="50" t="s">
        <v>200</v>
      </c>
      <c r="BD153" s="50" t="s">
        <v>200</v>
      </c>
      <c r="BE153" s="50" t="s">
        <v>200</v>
      </c>
      <c r="BF153" s="50" t="s">
        <v>200</v>
      </c>
      <c r="BG153" s="50" t="s">
        <v>200</v>
      </c>
      <c r="BH153" s="50" t="s">
        <v>200</v>
      </c>
      <c r="BI153" s="50" t="s">
        <v>200</v>
      </c>
      <c r="BJ153" s="50" t="s">
        <v>200</v>
      </c>
      <c r="BK153" s="50" t="s">
        <v>200</v>
      </c>
      <c r="BL153" s="50" t="s">
        <v>200</v>
      </c>
      <c r="BM153" s="50" t="s">
        <v>436</v>
      </c>
      <c r="BN153" s="50" t="s">
        <v>318</v>
      </c>
      <c r="BO153" s="50" t="s">
        <v>91</v>
      </c>
      <c r="BP153" s="50" t="s">
        <v>286</v>
      </c>
      <c r="BQ153" s="50" t="s">
        <v>287</v>
      </c>
      <c r="BR153" s="50" t="s">
        <v>382</v>
      </c>
      <c r="BS153" s="111">
        <v>4</v>
      </c>
      <c r="BT153" s="50" t="s">
        <v>318</v>
      </c>
      <c r="BU153" s="50" t="s">
        <v>312</v>
      </c>
      <c r="BV153" s="50" t="s">
        <v>288</v>
      </c>
      <c r="BW153" s="50" t="s">
        <v>289</v>
      </c>
      <c r="BX153" s="50" t="s">
        <v>300</v>
      </c>
      <c r="BY153" s="50" t="s">
        <v>288</v>
      </c>
      <c r="BZ153" s="50" t="s">
        <v>287</v>
      </c>
      <c r="CA153" s="50"/>
      <c r="CB153" s="50" t="s">
        <v>287</v>
      </c>
      <c r="CC153" s="50" t="s">
        <v>287</v>
      </c>
      <c r="CD153" s="50" t="s">
        <v>287</v>
      </c>
      <c r="CE153" s="50"/>
      <c r="CF153" s="50" t="s">
        <v>287</v>
      </c>
      <c r="CG153" s="50" t="s">
        <v>287</v>
      </c>
      <c r="CH153" s="50" t="s">
        <v>486</v>
      </c>
      <c r="CI153" s="50" t="s">
        <v>287</v>
      </c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1:97" ht="36.75" customHeight="1" thickBot="1">
      <c r="A154" s="49">
        <v>46086.377523148149</v>
      </c>
      <c r="B154" s="50" t="s">
        <v>40</v>
      </c>
      <c r="C154" s="50" t="s">
        <v>46</v>
      </c>
      <c r="D154" s="50" t="s">
        <v>374</v>
      </c>
      <c r="E154" s="50" t="s">
        <v>61</v>
      </c>
      <c r="F154" s="50" t="s">
        <v>286</v>
      </c>
      <c r="G154" s="50" t="s">
        <v>73</v>
      </c>
      <c r="H154" s="50" t="s">
        <v>533</v>
      </c>
      <c r="I154" s="50" t="s">
        <v>89</v>
      </c>
      <c r="J154" s="50" t="s">
        <v>286</v>
      </c>
      <c r="K154" s="50" t="s">
        <v>287</v>
      </c>
      <c r="L154" s="50" t="s">
        <v>336</v>
      </c>
      <c r="M154" s="50" t="s">
        <v>7</v>
      </c>
      <c r="N154" s="111">
        <v>5</v>
      </c>
      <c r="O154" s="111">
        <v>5</v>
      </c>
      <c r="P154" s="111">
        <v>5</v>
      </c>
      <c r="Q154" s="111">
        <v>5</v>
      </c>
      <c r="R154" s="111">
        <v>5</v>
      </c>
      <c r="S154" s="111">
        <v>5</v>
      </c>
      <c r="T154" s="111">
        <v>5</v>
      </c>
      <c r="U154" s="111">
        <v>5</v>
      </c>
      <c r="V154" s="111">
        <v>5</v>
      </c>
      <c r="W154" s="111">
        <v>5</v>
      </c>
      <c r="X154" s="111">
        <v>5</v>
      </c>
      <c r="Y154" s="111">
        <v>5</v>
      </c>
      <c r="Z154" s="111">
        <v>5</v>
      </c>
      <c r="AA154" s="111">
        <v>5</v>
      </c>
      <c r="AB154" s="111">
        <v>5</v>
      </c>
      <c r="AC154" s="111">
        <v>5</v>
      </c>
      <c r="AD154" s="111">
        <v>5</v>
      </c>
      <c r="AE154" s="111">
        <v>5</v>
      </c>
      <c r="AF154" s="111">
        <v>5</v>
      </c>
      <c r="AG154" s="111">
        <v>5</v>
      </c>
      <c r="AH154" s="111">
        <v>5</v>
      </c>
      <c r="AI154" s="111">
        <v>5</v>
      </c>
      <c r="AJ154" s="111">
        <v>5</v>
      </c>
      <c r="AK154" s="111">
        <v>5</v>
      </c>
      <c r="AL154" s="111">
        <v>5</v>
      </c>
      <c r="AM154" s="111">
        <v>5</v>
      </c>
      <c r="AN154" s="111">
        <v>5</v>
      </c>
      <c r="AO154" s="111">
        <v>5</v>
      </c>
      <c r="AP154" s="111">
        <v>5</v>
      </c>
      <c r="AQ154" s="111">
        <v>5</v>
      </c>
      <c r="AR154" s="111">
        <v>5</v>
      </c>
      <c r="AS154" s="111">
        <v>5</v>
      </c>
      <c r="AT154" s="111">
        <v>5</v>
      </c>
      <c r="AU154" s="111">
        <v>5</v>
      </c>
      <c r="AV154" s="50" t="s">
        <v>199</v>
      </c>
      <c r="AW154" s="50" t="s">
        <v>199</v>
      </c>
      <c r="AX154" s="50" t="s">
        <v>199</v>
      </c>
      <c r="AY154" s="50" t="s">
        <v>200</v>
      </c>
      <c r="AZ154" s="50" t="s">
        <v>200</v>
      </c>
      <c r="BA154" s="50" t="s">
        <v>200</v>
      </c>
      <c r="BB154" s="50" t="s">
        <v>200</v>
      </c>
      <c r="BC154" s="50" t="s">
        <v>200</v>
      </c>
      <c r="BD154" s="50" t="s">
        <v>200</v>
      </c>
      <c r="BE154" s="50" t="s">
        <v>200</v>
      </c>
      <c r="BF154" s="50" t="s">
        <v>200</v>
      </c>
      <c r="BG154" s="50" t="s">
        <v>200</v>
      </c>
      <c r="BH154" s="50" t="s">
        <v>200</v>
      </c>
      <c r="BI154" s="50" t="s">
        <v>200</v>
      </c>
      <c r="BJ154" s="50" t="s">
        <v>200</v>
      </c>
      <c r="BK154" s="50" t="s">
        <v>200</v>
      </c>
      <c r="BL154" s="50" t="s">
        <v>200</v>
      </c>
      <c r="BM154" s="50" t="s">
        <v>436</v>
      </c>
      <c r="BN154" s="50" t="s">
        <v>318</v>
      </c>
      <c r="BO154" s="50" t="s">
        <v>91</v>
      </c>
      <c r="BP154" s="50" t="s">
        <v>286</v>
      </c>
      <c r="BQ154" s="50" t="s">
        <v>287</v>
      </c>
      <c r="BR154" s="50" t="s">
        <v>407</v>
      </c>
      <c r="BS154" s="111">
        <v>4</v>
      </c>
      <c r="BT154" s="50" t="s">
        <v>318</v>
      </c>
      <c r="BU154" s="50" t="s">
        <v>312</v>
      </c>
      <c r="BV154" s="50" t="s">
        <v>288</v>
      </c>
      <c r="BW154" s="50" t="s">
        <v>304</v>
      </c>
      <c r="BX154" s="50" t="s">
        <v>300</v>
      </c>
      <c r="BY154" s="50" t="s">
        <v>288</v>
      </c>
      <c r="BZ154" s="50" t="s">
        <v>287</v>
      </c>
      <c r="CA154" s="50"/>
      <c r="CB154" s="50" t="s">
        <v>287</v>
      </c>
      <c r="CC154" s="50" t="s">
        <v>287</v>
      </c>
      <c r="CD154" s="50" t="s">
        <v>287</v>
      </c>
      <c r="CE154" s="50"/>
      <c r="CF154" s="50" t="s">
        <v>287</v>
      </c>
      <c r="CG154" s="50" t="s">
        <v>287</v>
      </c>
      <c r="CH154" s="50" t="s">
        <v>486</v>
      </c>
      <c r="CI154" s="50" t="s">
        <v>287</v>
      </c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1:97" ht="36.75" customHeight="1" thickBot="1">
      <c r="A155" s="49">
        <v>46086.394432870373</v>
      </c>
      <c r="B155" s="50" t="s">
        <v>40</v>
      </c>
      <c r="C155" s="50" t="s">
        <v>45</v>
      </c>
      <c r="D155" s="50" t="s">
        <v>374</v>
      </c>
      <c r="E155" s="50" t="s">
        <v>61</v>
      </c>
      <c r="F155" s="50" t="s">
        <v>286</v>
      </c>
      <c r="G155" s="50" t="s">
        <v>73</v>
      </c>
      <c r="H155" s="50" t="s">
        <v>286</v>
      </c>
      <c r="I155" s="50" t="s">
        <v>81</v>
      </c>
      <c r="J155" s="50" t="s">
        <v>286</v>
      </c>
      <c r="K155" s="50" t="s">
        <v>287</v>
      </c>
      <c r="L155" s="50" t="s">
        <v>336</v>
      </c>
      <c r="M155" s="50" t="s">
        <v>7</v>
      </c>
      <c r="N155" s="111">
        <v>5</v>
      </c>
      <c r="O155" s="111">
        <v>5</v>
      </c>
      <c r="P155" s="111">
        <v>5</v>
      </c>
      <c r="Q155" s="111">
        <v>5</v>
      </c>
      <c r="R155" s="111">
        <v>5</v>
      </c>
      <c r="S155" s="111">
        <v>5</v>
      </c>
      <c r="T155" s="111">
        <v>5</v>
      </c>
      <c r="U155" s="111">
        <v>5</v>
      </c>
      <c r="V155" s="111">
        <v>5</v>
      </c>
      <c r="W155" s="111">
        <v>5</v>
      </c>
      <c r="X155" s="111">
        <v>5</v>
      </c>
      <c r="Y155" s="111">
        <v>5</v>
      </c>
      <c r="Z155" s="111">
        <v>5</v>
      </c>
      <c r="AA155" s="111">
        <v>5</v>
      </c>
      <c r="AB155" s="111">
        <v>5</v>
      </c>
      <c r="AC155" s="111">
        <v>5</v>
      </c>
      <c r="AD155" s="111">
        <v>5</v>
      </c>
      <c r="AE155" s="111">
        <v>5</v>
      </c>
      <c r="AF155" s="111">
        <v>5</v>
      </c>
      <c r="AG155" s="111">
        <v>5</v>
      </c>
      <c r="AH155" s="111">
        <v>5</v>
      </c>
      <c r="AI155" s="111">
        <v>5</v>
      </c>
      <c r="AJ155" s="111">
        <v>5</v>
      </c>
      <c r="AK155" s="111">
        <v>5</v>
      </c>
      <c r="AL155" s="111">
        <v>5</v>
      </c>
      <c r="AM155" s="111">
        <v>5</v>
      </c>
      <c r="AN155" s="111">
        <v>5</v>
      </c>
      <c r="AO155" s="111">
        <v>5</v>
      </c>
      <c r="AP155" s="111">
        <v>5</v>
      </c>
      <c r="AQ155" s="111">
        <v>5</v>
      </c>
      <c r="AR155" s="111">
        <v>5</v>
      </c>
      <c r="AS155" s="111">
        <v>5</v>
      </c>
      <c r="AT155" s="111">
        <v>5</v>
      </c>
      <c r="AU155" s="111">
        <v>5</v>
      </c>
      <c r="AV155" s="50" t="s">
        <v>199</v>
      </c>
      <c r="AW155" s="50" t="s">
        <v>199</v>
      </c>
      <c r="AX155" s="50" t="s">
        <v>199</v>
      </c>
      <c r="AY155" s="50" t="s">
        <v>200</v>
      </c>
      <c r="AZ155" s="50" t="s">
        <v>200</v>
      </c>
      <c r="BA155" s="50" t="s">
        <v>200</v>
      </c>
      <c r="BB155" s="50" t="s">
        <v>200</v>
      </c>
      <c r="BC155" s="50" t="s">
        <v>200</v>
      </c>
      <c r="BD155" s="50" t="s">
        <v>200</v>
      </c>
      <c r="BE155" s="50" t="s">
        <v>200</v>
      </c>
      <c r="BF155" s="50" t="s">
        <v>200</v>
      </c>
      <c r="BG155" s="50" t="s">
        <v>200</v>
      </c>
      <c r="BH155" s="50" t="s">
        <v>200</v>
      </c>
      <c r="BI155" s="50" t="s">
        <v>200</v>
      </c>
      <c r="BJ155" s="50" t="s">
        <v>200</v>
      </c>
      <c r="BK155" s="50" t="s">
        <v>200</v>
      </c>
      <c r="BL155" s="50" t="s">
        <v>200</v>
      </c>
      <c r="BM155" s="50" t="s">
        <v>436</v>
      </c>
      <c r="BN155" s="50" t="s">
        <v>318</v>
      </c>
      <c r="BO155" s="50" t="s">
        <v>91</v>
      </c>
      <c r="BP155" s="50" t="s">
        <v>286</v>
      </c>
      <c r="BQ155" s="50" t="s">
        <v>287</v>
      </c>
      <c r="BR155" s="50" t="s">
        <v>414</v>
      </c>
      <c r="BS155" s="111">
        <v>4</v>
      </c>
      <c r="BT155" s="50" t="s">
        <v>286</v>
      </c>
      <c r="BU155" s="50" t="s">
        <v>312</v>
      </c>
      <c r="BV155" s="50" t="s">
        <v>288</v>
      </c>
      <c r="BW155" s="50" t="s">
        <v>289</v>
      </c>
      <c r="BX155" s="50" t="s">
        <v>300</v>
      </c>
      <c r="BY155" s="50" t="s">
        <v>288</v>
      </c>
      <c r="BZ155" s="50" t="s">
        <v>287</v>
      </c>
      <c r="CA155" s="50"/>
      <c r="CB155" s="50" t="s">
        <v>287</v>
      </c>
      <c r="CC155" s="50" t="s">
        <v>287</v>
      </c>
      <c r="CD155" s="50" t="s">
        <v>287</v>
      </c>
      <c r="CE155" s="50"/>
      <c r="CF155" s="50" t="s">
        <v>287</v>
      </c>
      <c r="CG155" s="50" t="s">
        <v>287</v>
      </c>
      <c r="CH155" s="50" t="s">
        <v>486</v>
      </c>
      <c r="CI155" s="50" t="s">
        <v>287</v>
      </c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1:97" ht="36.75" customHeight="1" thickBot="1">
      <c r="A156" s="49">
        <v>46086.398564814815</v>
      </c>
      <c r="B156" s="50" t="s">
        <v>40</v>
      </c>
      <c r="C156" s="50" t="s">
        <v>45</v>
      </c>
      <c r="D156" s="50" t="s">
        <v>374</v>
      </c>
      <c r="E156" s="50" t="s">
        <v>66</v>
      </c>
      <c r="F156" s="50" t="s">
        <v>286</v>
      </c>
      <c r="G156" s="50" t="s">
        <v>73</v>
      </c>
      <c r="H156" s="50" t="s">
        <v>420</v>
      </c>
      <c r="I156" s="50" t="s">
        <v>81</v>
      </c>
      <c r="J156" s="50" t="s">
        <v>286</v>
      </c>
      <c r="K156" s="50" t="s">
        <v>287</v>
      </c>
      <c r="L156" s="50" t="s">
        <v>336</v>
      </c>
      <c r="M156" s="50" t="s">
        <v>7</v>
      </c>
      <c r="N156" s="111">
        <v>5</v>
      </c>
      <c r="O156" s="111">
        <v>5</v>
      </c>
      <c r="P156" s="111">
        <v>5</v>
      </c>
      <c r="Q156" s="111">
        <v>5</v>
      </c>
      <c r="R156" s="111">
        <v>5</v>
      </c>
      <c r="S156" s="111">
        <v>5</v>
      </c>
      <c r="T156" s="111">
        <v>5</v>
      </c>
      <c r="U156" s="111">
        <v>5</v>
      </c>
      <c r="V156" s="111">
        <v>5</v>
      </c>
      <c r="W156" s="111">
        <v>5</v>
      </c>
      <c r="X156" s="111">
        <v>5</v>
      </c>
      <c r="Y156" s="111">
        <v>5</v>
      </c>
      <c r="Z156" s="111">
        <v>5</v>
      </c>
      <c r="AA156" s="111">
        <v>5</v>
      </c>
      <c r="AB156" s="111">
        <v>5</v>
      </c>
      <c r="AC156" s="111">
        <v>5</v>
      </c>
      <c r="AD156" s="111">
        <v>5</v>
      </c>
      <c r="AE156" s="111">
        <v>5</v>
      </c>
      <c r="AF156" s="111">
        <v>5</v>
      </c>
      <c r="AG156" s="111">
        <v>5</v>
      </c>
      <c r="AH156" s="111">
        <v>5</v>
      </c>
      <c r="AI156" s="111">
        <v>5</v>
      </c>
      <c r="AJ156" s="111">
        <v>5</v>
      </c>
      <c r="AK156" s="111">
        <v>5</v>
      </c>
      <c r="AL156" s="111">
        <v>5</v>
      </c>
      <c r="AM156" s="111">
        <v>5</v>
      </c>
      <c r="AN156" s="111">
        <v>5</v>
      </c>
      <c r="AO156" s="111">
        <v>5</v>
      </c>
      <c r="AP156" s="111">
        <v>5</v>
      </c>
      <c r="AQ156" s="111">
        <v>5</v>
      </c>
      <c r="AR156" s="111">
        <v>5</v>
      </c>
      <c r="AS156" s="111">
        <v>5</v>
      </c>
      <c r="AT156" s="111">
        <v>5</v>
      </c>
      <c r="AU156" s="111">
        <v>5</v>
      </c>
      <c r="AV156" s="50" t="s">
        <v>199</v>
      </c>
      <c r="AW156" s="50" t="s">
        <v>199</v>
      </c>
      <c r="AX156" s="50" t="s">
        <v>199</v>
      </c>
      <c r="AY156" s="50" t="s">
        <v>200</v>
      </c>
      <c r="AZ156" s="50" t="s">
        <v>200</v>
      </c>
      <c r="BA156" s="50" t="s">
        <v>200</v>
      </c>
      <c r="BB156" s="50" t="s">
        <v>200</v>
      </c>
      <c r="BC156" s="50" t="s">
        <v>200</v>
      </c>
      <c r="BD156" s="50" t="s">
        <v>200</v>
      </c>
      <c r="BE156" s="50" t="s">
        <v>200</v>
      </c>
      <c r="BF156" s="50" t="s">
        <v>200</v>
      </c>
      <c r="BG156" s="50" t="s">
        <v>200</v>
      </c>
      <c r="BH156" s="50" t="s">
        <v>200</v>
      </c>
      <c r="BI156" s="50" t="s">
        <v>200</v>
      </c>
      <c r="BJ156" s="50" t="s">
        <v>200</v>
      </c>
      <c r="BK156" s="50" t="s">
        <v>200</v>
      </c>
      <c r="BL156" s="50" t="s">
        <v>200</v>
      </c>
      <c r="BM156" s="50" t="s">
        <v>436</v>
      </c>
      <c r="BN156" s="50" t="s">
        <v>318</v>
      </c>
      <c r="BO156" s="50" t="s">
        <v>91</v>
      </c>
      <c r="BP156" s="50" t="s">
        <v>286</v>
      </c>
      <c r="BQ156" s="50" t="s">
        <v>287</v>
      </c>
      <c r="BR156" s="50" t="s">
        <v>416</v>
      </c>
      <c r="BS156" s="111">
        <v>4</v>
      </c>
      <c r="BT156" s="50" t="s">
        <v>286</v>
      </c>
      <c r="BU156" s="50" t="s">
        <v>312</v>
      </c>
      <c r="BV156" s="50" t="s">
        <v>288</v>
      </c>
      <c r="BW156" s="50" t="s">
        <v>304</v>
      </c>
      <c r="BX156" s="50" t="s">
        <v>300</v>
      </c>
      <c r="BY156" s="50" t="s">
        <v>288</v>
      </c>
      <c r="BZ156" s="50" t="s">
        <v>287</v>
      </c>
      <c r="CA156" s="50"/>
      <c r="CB156" s="50" t="s">
        <v>287</v>
      </c>
      <c r="CC156" s="50" t="s">
        <v>287</v>
      </c>
      <c r="CD156" s="50" t="s">
        <v>287</v>
      </c>
      <c r="CE156" s="50"/>
      <c r="CF156" s="50" t="s">
        <v>287</v>
      </c>
      <c r="CG156" s="50" t="s">
        <v>287</v>
      </c>
      <c r="CH156" s="50" t="s">
        <v>486</v>
      </c>
      <c r="CI156" s="50" t="s">
        <v>287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1:97" ht="36.75" customHeight="1" thickBot="1">
      <c r="A157" s="49">
        <v>46086.442615740743</v>
      </c>
      <c r="B157" s="50" t="s">
        <v>40</v>
      </c>
      <c r="C157" s="50" t="s">
        <v>45</v>
      </c>
      <c r="D157" s="50" t="s">
        <v>374</v>
      </c>
      <c r="E157" s="50" t="s">
        <v>61</v>
      </c>
      <c r="F157" s="50" t="s">
        <v>286</v>
      </c>
      <c r="G157" s="50" t="s">
        <v>73</v>
      </c>
      <c r="H157" s="50" t="s">
        <v>534</v>
      </c>
      <c r="I157" s="50" t="s">
        <v>81</v>
      </c>
      <c r="J157" s="50" t="s">
        <v>286</v>
      </c>
      <c r="K157" s="50" t="s">
        <v>287</v>
      </c>
      <c r="L157" s="50" t="s">
        <v>336</v>
      </c>
      <c r="M157" s="50" t="s">
        <v>7</v>
      </c>
      <c r="N157" s="111">
        <v>5</v>
      </c>
      <c r="O157" s="111">
        <v>5</v>
      </c>
      <c r="P157" s="111">
        <v>5</v>
      </c>
      <c r="Q157" s="111">
        <v>5</v>
      </c>
      <c r="R157" s="111">
        <v>5</v>
      </c>
      <c r="S157" s="111">
        <v>5</v>
      </c>
      <c r="T157" s="111">
        <v>5</v>
      </c>
      <c r="U157" s="111">
        <v>5</v>
      </c>
      <c r="V157" s="111">
        <v>5</v>
      </c>
      <c r="W157" s="111">
        <v>5</v>
      </c>
      <c r="X157" s="111">
        <v>5</v>
      </c>
      <c r="Y157" s="111">
        <v>5</v>
      </c>
      <c r="Z157" s="111">
        <v>5</v>
      </c>
      <c r="AA157" s="111">
        <v>5</v>
      </c>
      <c r="AB157" s="111">
        <v>5</v>
      </c>
      <c r="AC157" s="111">
        <v>5</v>
      </c>
      <c r="AD157" s="111">
        <v>5</v>
      </c>
      <c r="AE157" s="111">
        <v>5</v>
      </c>
      <c r="AF157" s="111">
        <v>5</v>
      </c>
      <c r="AG157" s="111">
        <v>5</v>
      </c>
      <c r="AH157" s="111">
        <v>5</v>
      </c>
      <c r="AI157" s="111">
        <v>5</v>
      </c>
      <c r="AJ157" s="111">
        <v>5</v>
      </c>
      <c r="AK157" s="111">
        <v>5</v>
      </c>
      <c r="AL157" s="111">
        <v>5</v>
      </c>
      <c r="AM157" s="111">
        <v>5</v>
      </c>
      <c r="AN157" s="111">
        <v>5</v>
      </c>
      <c r="AO157" s="111">
        <v>5</v>
      </c>
      <c r="AP157" s="111">
        <v>5</v>
      </c>
      <c r="AQ157" s="111">
        <v>5</v>
      </c>
      <c r="AR157" s="111">
        <v>5</v>
      </c>
      <c r="AS157" s="111">
        <v>5</v>
      </c>
      <c r="AT157" s="111">
        <v>5</v>
      </c>
      <c r="AU157" s="111">
        <v>5</v>
      </c>
      <c r="AV157" s="50" t="s">
        <v>199</v>
      </c>
      <c r="AW157" s="50" t="s">
        <v>199</v>
      </c>
      <c r="AX157" s="50" t="s">
        <v>199</v>
      </c>
      <c r="AY157" s="50" t="s">
        <v>200</v>
      </c>
      <c r="AZ157" s="50" t="s">
        <v>200</v>
      </c>
      <c r="BA157" s="50" t="s">
        <v>200</v>
      </c>
      <c r="BB157" s="50" t="s">
        <v>200</v>
      </c>
      <c r="BC157" s="50" t="s">
        <v>200</v>
      </c>
      <c r="BD157" s="50" t="s">
        <v>200</v>
      </c>
      <c r="BE157" s="50" t="s">
        <v>200</v>
      </c>
      <c r="BF157" s="50" t="s">
        <v>200</v>
      </c>
      <c r="BG157" s="50" t="s">
        <v>200</v>
      </c>
      <c r="BH157" s="50" t="s">
        <v>200</v>
      </c>
      <c r="BI157" s="50" t="s">
        <v>200</v>
      </c>
      <c r="BJ157" s="50" t="s">
        <v>200</v>
      </c>
      <c r="BK157" s="50" t="s">
        <v>200</v>
      </c>
      <c r="BL157" s="50" t="s">
        <v>200</v>
      </c>
      <c r="BM157" s="50" t="s">
        <v>436</v>
      </c>
      <c r="BN157" s="50" t="s">
        <v>318</v>
      </c>
      <c r="BO157" s="50" t="s">
        <v>91</v>
      </c>
      <c r="BP157" s="50" t="s">
        <v>286</v>
      </c>
      <c r="BQ157" s="50" t="s">
        <v>287</v>
      </c>
      <c r="BR157" s="50" t="s">
        <v>408</v>
      </c>
      <c r="BS157" s="111">
        <v>4</v>
      </c>
      <c r="BT157" s="50" t="s">
        <v>286</v>
      </c>
      <c r="BU157" s="50" t="s">
        <v>312</v>
      </c>
      <c r="BV157" s="50" t="s">
        <v>288</v>
      </c>
      <c r="BW157" s="50" t="s">
        <v>293</v>
      </c>
      <c r="BX157" s="50" t="s">
        <v>290</v>
      </c>
      <c r="BY157" s="50" t="s">
        <v>288</v>
      </c>
      <c r="BZ157" s="50" t="s">
        <v>287</v>
      </c>
      <c r="CA157" s="50"/>
      <c r="CB157" s="50" t="s">
        <v>287</v>
      </c>
      <c r="CC157" s="50" t="s">
        <v>287</v>
      </c>
      <c r="CD157" s="50" t="s">
        <v>287</v>
      </c>
      <c r="CE157" s="50"/>
      <c r="CF157" s="50" t="s">
        <v>287</v>
      </c>
      <c r="CG157" s="50" t="s">
        <v>287</v>
      </c>
      <c r="CH157" s="50" t="s">
        <v>486</v>
      </c>
      <c r="CI157" s="50" t="s">
        <v>287</v>
      </c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1:97" ht="36.75" customHeight="1" thickBot="1">
      <c r="A158" s="49">
        <v>46086.447395833333</v>
      </c>
      <c r="B158" s="50" t="s">
        <v>40</v>
      </c>
      <c r="C158" s="50" t="s">
        <v>45</v>
      </c>
      <c r="D158" s="50" t="s">
        <v>374</v>
      </c>
      <c r="E158" s="50" t="s">
        <v>535</v>
      </c>
      <c r="F158" s="50" t="s">
        <v>286</v>
      </c>
      <c r="G158" s="50" t="s">
        <v>74</v>
      </c>
      <c r="H158" s="50" t="s">
        <v>363</v>
      </c>
      <c r="I158" s="50" t="s">
        <v>81</v>
      </c>
      <c r="J158" s="50" t="s">
        <v>286</v>
      </c>
      <c r="K158" s="50" t="s">
        <v>287</v>
      </c>
      <c r="L158" s="50" t="s">
        <v>336</v>
      </c>
      <c r="M158" s="50" t="s">
        <v>7</v>
      </c>
      <c r="N158" s="111">
        <v>5</v>
      </c>
      <c r="O158" s="111">
        <v>5</v>
      </c>
      <c r="P158" s="111">
        <v>5</v>
      </c>
      <c r="Q158" s="111">
        <v>5</v>
      </c>
      <c r="R158" s="111">
        <v>5</v>
      </c>
      <c r="S158" s="111">
        <v>5</v>
      </c>
      <c r="T158" s="111">
        <v>5</v>
      </c>
      <c r="U158" s="111">
        <v>5</v>
      </c>
      <c r="V158" s="111">
        <v>5</v>
      </c>
      <c r="W158" s="111">
        <v>5</v>
      </c>
      <c r="X158" s="111">
        <v>5</v>
      </c>
      <c r="Y158" s="111">
        <v>5</v>
      </c>
      <c r="Z158" s="111">
        <v>5</v>
      </c>
      <c r="AA158" s="111">
        <v>5</v>
      </c>
      <c r="AB158" s="111">
        <v>5</v>
      </c>
      <c r="AC158" s="111">
        <v>5</v>
      </c>
      <c r="AD158" s="111">
        <v>5</v>
      </c>
      <c r="AE158" s="111">
        <v>5</v>
      </c>
      <c r="AF158" s="111">
        <v>5</v>
      </c>
      <c r="AG158" s="111">
        <v>5</v>
      </c>
      <c r="AH158" s="111">
        <v>5</v>
      </c>
      <c r="AI158" s="111">
        <v>5</v>
      </c>
      <c r="AJ158" s="111">
        <v>5</v>
      </c>
      <c r="AK158" s="111">
        <v>5</v>
      </c>
      <c r="AL158" s="111">
        <v>5</v>
      </c>
      <c r="AM158" s="111">
        <v>5</v>
      </c>
      <c r="AN158" s="111">
        <v>5</v>
      </c>
      <c r="AO158" s="111">
        <v>5</v>
      </c>
      <c r="AP158" s="111">
        <v>5</v>
      </c>
      <c r="AQ158" s="111">
        <v>5</v>
      </c>
      <c r="AR158" s="111">
        <v>5</v>
      </c>
      <c r="AS158" s="111">
        <v>5</v>
      </c>
      <c r="AT158" s="111">
        <v>5</v>
      </c>
      <c r="AU158" s="111">
        <v>5</v>
      </c>
      <c r="AV158" s="50" t="s">
        <v>199</v>
      </c>
      <c r="AW158" s="50" t="s">
        <v>199</v>
      </c>
      <c r="AX158" s="50" t="s">
        <v>199</v>
      </c>
      <c r="AY158" s="50" t="s">
        <v>200</v>
      </c>
      <c r="AZ158" s="50" t="s">
        <v>200</v>
      </c>
      <c r="BA158" s="50" t="s">
        <v>200</v>
      </c>
      <c r="BB158" s="50" t="s">
        <v>200</v>
      </c>
      <c r="BC158" s="50" t="s">
        <v>200</v>
      </c>
      <c r="BD158" s="50" t="s">
        <v>200</v>
      </c>
      <c r="BE158" s="50" t="s">
        <v>200</v>
      </c>
      <c r="BF158" s="50" t="s">
        <v>200</v>
      </c>
      <c r="BG158" s="50" t="s">
        <v>200</v>
      </c>
      <c r="BH158" s="50" t="s">
        <v>200</v>
      </c>
      <c r="BI158" s="50" t="s">
        <v>200</v>
      </c>
      <c r="BJ158" s="50" t="s">
        <v>200</v>
      </c>
      <c r="BK158" s="50" t="s">
        <v>200</v>
      </c>
      <c r="BL158" s="50" t="s">
        <v>200</v>
      </c>
      <c r="BM158" s="50" t="s">
        <v>436</v>
      </c>
      <c r="BN158" s="50" t="s">
        <v>318</v>
      </c>
      <c r="BO158" s="50" t="s">
        <v>91</v>
      </c>
      <c r="BP158" s="50" t="s">
        <v>286</v>
      </c>
      <c r="BQ158" s="50" t="s">
        <v>287</v>
      </c>
      <c r="BR158" s="50" t="s">
        <v>305</v>
      </c>
      <c r="BS158" s="111">
        <v>4</v>
      </c>
      <c r="BT158" s="50" t="s">
        <v>286</v>
      </c>
      <c r="BU158" s="50" t="s">
        <v>312</v>
      </c>
      <c r="BV158" s="50" t="s">
        <v>288</v>
      </c>
      <c r="BW158" s="50" t="s">
        <v>297</v>
      </c>
      <c r="BX158" s="50" t="s">
        <v>296</v>
      </c>
      <c r="BY158" s="50" t="s">
        <v>288</v>
      </c>
      <c r="BZ158" s="50" t="s">
        <v>287</v>
      </c>
      <c r="CA158" s="50"/>
      <c r="CB158" s="50" t="s">
        <v>287</v>
      </c>
      <c r="CC158" s="50" t="s">
        <v>287</v>
      </c>
      <c r="CD158" s="50" t="s">
        <v>287</v>
      </c>
      <c r="CE158" s="50"/>
      <c r="CF158" s="50" t="s">
        <v>287</v>
      </c>
      <c r="CG158" s="50" t="s">
        <v>287</v>
      </c>
      <c r="CH158" s="50" t="s">
        <v>486</v>
      </c>
      <c r="CI158" s="50" t="s">
        <v>287</v>
      </c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1:97" ht="36.75" customHeight="1" thickBot="1">
      <c r="A159" s="49">
        <v>46086.555821759262</v>
      </c>
      <c r="B159" s="50" t="s">
        <v>40</v>
      </c>
      <c r="C159" s="50" t="s">
        <v>45</v>
      </c>
      <c r="D159" s="50" t="s">
        <v>374</v>
      </c>
      <c r="E159" s="50" t="s">
        <v>61</v>
      </c>
      <c r="F159" s="50" t="s">
        <v>286</v>
      </c>
      <c r="G159" s="50" t="s">
        <v>73</v>
      </c>
      <c r="H159" s="50" t="s">
        <v>331</v>
      </c>
      <c r="I159" s="50" t="s">
        <v>81</v>
      </c>
      <c r="J159" s="50" t="s">
        <v>286</v>
      </c>
      <c r="K159" s="50" t="s">
        <v>287</v>
      </c>
      <c r="L159" s="50" t="s">
        <v>336</v>
      </c>
      <c r="M159" s="50" t="s">
        <v>7</v>
      </c>
      <c r="N159" s="111">
        <v>5</v>
      </c>
      <c r="O159" s="111">
        <v>5</v>
      </c>
      <c r="P159" s="111">
        <v>5</v>
      </c>
      <c r="Q159" s="111">
        <v>5</v>
      </c>
      <c r="R159" s="111">
        <v>5</v>
      </c>
      <c r="S159" s="111">
        <v>5</v>
      </c>
      <c r="T159" s="111">
        <v>5</v>
      </c>
      <c r="U159" s="111">
        <v>5</v>
      </c>
      <c r="V159" s="111">
        <v>5</v>
      </c>
      <c r="W159" s="111">
        <v>5</v>
      </c>
      <c r="X159" s="111">
        <v>5</v>
      </c>
      <c r="Y159" s="111">
        <v>5</v>
      </c>
      <c r="Z159" s="111">
        <v>5</v>
      </c>
      <c r="AA159" s="111">
        <v>5</v>
      </c>
      <c r="AB159" s="111">
        <v>5</v>
      </c>
      <c r="AC159" s="111">
        <v>5</v>
      </c>
      <c r="AD159" s="111">
        <v>5</v>
      </c>
      <c r="AE159" s="111">
        <v>5</v>
      </c>
      <c r="AF159" s="111">
        <v>5</v>
      </c>
      <c r="AG159" s="111">
        <v>5</v>
      </c>
      <c r="AH159" s="111">
        <v>5</v>
      </c>
      <c r="AI159" s="111">
        <v>5</v>
      </c>
      <c r="AJ159" s="111">
        <v>5</v>
      </c>
      <c r="AK159" s="111">
        <v>5</v>
      </c>
      <c r="AL159" s="111">
        <v>5</v>
      </c>
      <c r="AM159" s="111">
        <v>5</v>
      </c>
      <c r="AN159" s="111">
        <v>5</v>
      </c>
      <c r="AO159" s="111">
        <v>5</v>
      </c>
      <c r="AP159" s="111">
        <v>5</v>
      </c>
      <c r="AQ159" s="111">
        <v>5</v>
      </c>
      <c r="AR159" s="111">
        <v>5</v>
      </c>
      <c r="AS159" s="111">
        <v>5</v>
      </c>
      <c r="AT159" s="111">
        <v>5</v>
      </c>
      <c r="AU159" s="111">
        <v>5</v>
      </c>
      <c r="AV159" s="50" t="s">
        <v>199</v>
      </c>
      <c r="AW159" s="50" t="s">
        <v>199</v>
      </c>
      <c r="AX159" s="50" t="s">
        <v>199</v>
      </c>
      <c r="AY159" s="50" t="s">
        <v>200</v>
      </c>
      <c r="AZ159" s="50" t="s">
        <v>200</v>
      </c>
      <c r="BA159" s="50" t="s">
        <v>200</v>
      </c>
      <c r="BB159" s="50" t="s">
        <v>200</v>
      </c>
      <c r="BC159" s="50" t="s">
        <v>200</v>
      </c>
      <c r="BD159" s="50" t="s">
        <v>200</v>
      </c>
      <c r="BE159" s="50" t="s">
        <v>200</v>
      </c>
      <c r="BF159" s="50" t="s">
        <v>200</v>
      </c>
      <c r="BG159" s="50" t="s">
        <v>200</v>
      </c>
      <c r="BH159" s="50" t="s">
        <v>200</v>
      </c>
      <c r="BI159" s="50" t="s">
        <v>200</v>
      </c>
      <c r="BJ159" s="50" t="s">
        <v>200</v>
      </c>
      <c r="BK159" s="50" t="s">
        <v>200</v>
      </c>
      <c r="BL159" s="50" t="s">
        <v>200</v>
      </c>
      <c r="BM159" s="50" t="s">
        <v>436</v>
      </c>
      <c r="BN159" s="50" t="s">
        <v>318</v>
      </c>
      <c r="BO159" s="50" t="s">
        <v>91</v>
      </c>
      <c r="BP159" s="50" t="s">
        <v>286</v>
      </c>
      <c r="BQ159" s="50" t="s">
        <v>287</v>
      </c>
      <c r="BR159" s="50" t="s">
        <v>407</v>
      </c>
      <c r="BS159" s="111">
        <v>4</v>
      </c>
      <c r="BT159" s="50" t="s">
        <v>286</v>
      </c>
      <c r="BU159" s="50" t="s">
        <v>312</v>
      </c>
      <c r="BV159" s="50"/>
      <c r="BW159" s="50" t="s">
        <v>303</v>
      </c>
      <c r="BX159" s="50" t="s">
        <v>290</v>
      </c>
      <c r="BY159" s="50" t="s">
        <v>288</v>
      </c>
      <c r="BZ159" s="50" t="s">
        <v>287</v>
      </c>
      <c r="CA159" s="50"/>
      <c r="CB159" s="50" t="s">
        <v>287</v>
      </c>
      <c r="CC159" s="50" t="s">
        <v>287</v>
      </c>
      <c r="CD159" s="50" t="s">
        <v>287</v>
      </c>
      <c r="CE159" s="50"/>
      <c r="CF159" s="50" t="s">
        <v>287</v>
      </c>
      <c r="CG159" s="50" t="s">
        <v>287</v>
      </c>
      <c r="CH159" s="50" t="s">
        <v>486</v>
      </c>
      <c r="CI159" s="50" t="s">
        <v>287</v>
      </c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1:97" ht="36.75" customHeight="1" thickBot="1">
      <c r="A160" s="49">
        <v>46086.558310185188</v>
      </c>
      <c r="B160" s="50" t="s">
        <v>39</v>
      </c>
      <c r="C160" s="50" t="s">
        <v>46</v>
      </c>
      <c r="D160" s="50" t="s">
        <v>369</v>
      </c>
      <c r="E160" s="50" t="s">
        <v>61</v>
      </c>
      <c r="F160" s="50" t="s">
        <v>286</v>
      </c>
      <c r="G160" s="50" t="s">
        <v>73</v>
      </c>
      <c r="H160" s="50" t="s">
        <v>536</v>
      </c>
      <c r="I160" s="50" t="s">
        <v>92</v>
      </c>
      <c r="J160" s="50" t="s">
        <v>286</v>
      </c>
      <c r="K160" s="50" t="s">
        <v>287</v>
      </c>
      <c r="L160" s="50" t="s">
        <v>336</v>
      </c>
      <c r="M160" s="50" t="s">
        <v>7</v>
      </c>
      <c r="N160" s="111">
        <v>5</v>
      </c>
      <c r="O160" s="111">
        <v>5</v>
      </c>
      <c r="P160" s="111">
        <v>5</v>
      </c>
      <c r="Q160" s="111">
        <v>5</v>
      </c>
      <c r="R160" s="111">
        <v>5</v>
      </c>
      <c r="S160" s="111">
        <v>5</v>
      </c>
      <c r="T160" s="111">
        <v>5</v>
      </c>
      <c r="U160" s="111">
        <v>5</v>
      </c>
      <c r="V160" s="111">
        <v>5</v>
      </c>
      <c r="W160" s="111">
        <v>5</v>
      </c>
      <c r="X160" s="111">
        <v>5</v>
      </c>
      <c r="Y160" s="111">
        <v>5</v>
      </c>
      <c r="Z160" s="111">
        <v>5</v>
      </c>
      <c r="AA160" s="111">
        <v>5</v>
      </c>
      <c r="AB160" s="111">
        <v>5</v>
      </c>
      <c r="AC160" s="111">
        <v>5</v>
      </c>
      <c r="AD160" s="111">
        <v>5</v>
      </c>
      <c r="AE160" s="111">
        <v>5</v>
      </c>
      <c r="AF160" s="111">
        <v>5</v>
      </c>
      <c r="AG160" s="111">
        <v>5</v>
      </c>
      <c r="AH160" s="111">
        <v>5</v>
      </c>
      <c r="AI160" s="111">
        <v>5</v>
      </c>
      <c r="AJ160" s="111">
        <v>5</v>
      </c>
      <c r="AK160" s="111">
        <v>5</v>
      </c>
      <c r="AL160" s="111">
        <v>5</v>
      </c>
      <c r="AM160" s="111">
        <v>5</v>
      </c>
      <c r="AN160" s="111">
        <v>5</v>
      </c>
      <c r="AO160" s="111">
        <v>5</v>
      </c>
      <c r="AP160" s="111">
        <v>5</v>
      </c>
      <c r="AQ160" s="111">
        <v>5</v>
      </c>
      <c r="AR160" s="111">
        <v>5</v>
      </c>
      <c r="AS160" s="111">
        <v>5</v>
      </c>
      <c r="AT160" s="111">
        <v>5</v>
      </c>
      <c r="AU160" s="111">
        <v>5</v>
      </c>
      <c r="AV160" s="50" t="s">
        <v>199</v>
      </c>
      <c r="AW160" s="50" t="s">
        <v>199</v>
      </c>
      <c r="AX160" s="50" t="s">
        <v>199</v>
      </c>
      <c r="AY160" s="50" t="s">
        <v>200</v>
      </c>
      <c r="AZ160" s="50" t="s">
        <v>200</v>
      </c>
      <c r="BA160" s="50" t="s">
        <v>200</v>
      </c>
      <c r="BB160" s="50" t="s">
        <v>200</v>
      </c>
      <c r="BC160" s="50" t="s">
        <v>200</v>
      </c>
      <c r="BD160" s="50" t="s">
        <v>200</v>
      </c>
      <c r="BE160" s="50" t="s">
        <v>200</v>
      </c>
      <c r="BF160" s="50" t="s">
        <v>200</v>
      </c>
      <c r="BG160" s="50" t="s">
        <v>200</v>
      </c>
      <c r="BH160" s="50" t="s">
        <v>200</v>
      </c>
      <c r="BI160" s="50" t="s">
        <v>200</v>
      </c>
      <c r="BJ160" s="50" t="s">
        <v>200</v>
      </c>
      <c r="BK160" s="50" t="s">
        <v>200</v>
      </c>
      <c r="BL160" s="50" t="s">
        <v>200</v>
      </c>
      <c r="BM160" s="50" t="s">
        <v>436</v>
      </c>
      <c r="BN160" s="50" t="s">
        <v>318</v>
      </c>
      <c r="BO160" s="50" t="s">
        <v>91</v>
      </c>
      <c r="BP160" s="50" t="s">
        <v>286</v>
      </c>
      <c r="BQ160" s="50" t="s">
        <v>287</v>
      </c>
      <c r="BR160" s="50" t="s">
        <v>403</v>
      </c>
      <c r="BS160" s="111">
        <v>4</v>
      </c>
      <c r="BT160" s="50" t="s">
        <v>286</v>
      </c>
      <c r="BU160" s="50" t="s">
        <v>312</v>
      </c>
      <c r="BV160" s="50" t="s">
        <v>288</v>
      </c>
      <c r="BW160" s="50" t="s">
        <v>293</v>
      </c>
      <c r="BX160" s="50" t="s">
        <v>300</v>
      </c>
      <c r="BY160" s="50" t="s">
        <v>288</v>
      </c>
      <c r="BZ160" s="50" t="s">
        <v>287</v>
      </c>
      <c r="CA160" s="50"/>
      <c r="CB160" s="50" t="s">
        <v>287</v>
      </c>
      <c r="CC160" s="50" t="s">
        <v>287</v>
      </c>
      <c r="CD160" s="50" t="s">
        <v>287</v>
      </c>
      <c r="CE160" s="50"/>
      <c r="CF160" s="50" t="s">
        <v>287</v>
      </c>
      <c r="CG160" s="50" t="s">
        <v>287</v>
      </c>
      <c r="CH160" s="50" t="s">
        <v>486</v>
      </c>
      <c r="CI160" s="50" t="s">
        <v>287</v>
      </c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1:97" ht="36.75" customHeight="1" thickBot="1">
      <c r="A161" s="49">
        <v>46086.565208333333</v>
      </c>
      <c r="B161" s="50" t="s">
        <v>40</v>
      </c>
      <c r="C161" s="50" t="s">
        <v>46</v>
      </c>
      <c r="D161" s="50" t="s">
        <v>369</v>
      </c>
      <c r="E161" s="50" t="s">
        <v>285</v>
      </c>
      <c r="F161" s="50" t="s">
        <v>286</v>
      </c>
      <c r="G161" s="50" t="s">
        <v>73</v>
      </c>
      <c r="H161" s="50" t="s">
        <v>286</v>
      </c>
      <c r="I161" s="50" t="s">
        <v>81</v>
      </c>
      <c r="J161" s="50" t="s">
        <v>286</v>
      </c>
      <c r="K161" s="50" t="s">
        <v>287</v>
      </c>
      <c r="L161" s="50" t="s">
        <v>336</v>
      </c>
      <c r="M161" s="50" t="s">
        <v>7</v>
      </c>
      <c r="N161" s="111">
        <v>5</v>
      </c>
      <c r="O161" s="111">
        <v>5</v>
      </c>
      <c r="P161" s="111">
        <v>5</v>
      </c>
      <c r="Q161" s="111">
        <v>5</v>
      </c>
      <c r="R161" s="111">
        <v>5</v>
      </c>
      <c r="S161" s="111">
        <v>5</v>
      </c>
      <c r="T161" s="111">
        <v>5</v>
      </c>
      <c r="U161" s="111">
        <v>5</v>
      </c>
      <c r="V161" s="111">
        <v>5</v>
      </c>
      <c r="W161" s="111">
        <v>5</v>
      </c>
      <c r="X161" s="111">
        <v>5</v>
      </c>
      <c r="Y161" s="111">
        <v>5</v>
      </c>
      <c r="Z161" s="111">
        <v>5</v>
      </c>
      <c r="AA161" s="111">
        <v>5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5</v>
      </c>
      <c r="AH161" s="111">
        <v>5</v>
      </c>
      <c r="AI161" s="111">
        <v>5</v>
      </c>
      <c r="AJ161" s="111">
        <v>5</v>
      </c>
      <c r="AK161" s="111">
        <v>5</v>
      </c>
      <c r="AL161" s="111">
        <v>5</v>
      </c>
      <c r="AM161" s="111">
        <v>5</v>
      </c>
      <c r="AN161" s="111">
        <v>5</v>
      </c>
      <c r="AO161" s="111">
        <v>5</v>
      </c>
      <c r="AP161" s="111">
        <v>5</v>
      </c>
      <c r="AQ161" s="111">
        <v>5</v>
      </c>
      <c r="AR161" s="111">
        <v>5</v>
      </c>
      <c r="AS161" s="111">
        <v>5</v>
      </c>
      <c r="AT161" s="111">
        <v>5</v>
      </c>
      <c r="AU161" s="111">
        <v>5</v>
      </c>
      <c r="AV161" s="50" t="s">
        <v>199</v>
      </c>
      <c r="AW161" s="50" t="s">
        <v>199</v>
      </c>
      <c r="AX161" s="50" t="s">
        <v>199</v>
      </c>
      <c r="AY161" s="50" t="s">
        <v>200</v>
      </c>
      <c r="AZ161" s="50" t="s">
        <v>200</v>
      </c>
      <c r="BA161" s="50" t="s">
        <v>200</v>
      </c>
      <c r="BB161" s="50" t="s">
        <v>200</v>
      </c>
      <c r="BC161" s="50" t="s">
        <v>200</v>
      </c>
      <c r="BD161" s="50" t="s">
        <v>200</v>
      </c>
      <c r="BE161" s="50" t="s">
        <v>200</v>
      </c>
      <c r="BF161" s="50" t="s">
        <v>200</v>
      </c>
      <c r="BG161" s="50" t="s">
        <v>200</v>
      </c>
      <c r="BH161" s="50" t="s">
        <v>200</v>
      </c>
      <c r="BI161" s="50" t="s">
        <v>200</v>
      </c>
      <c r="BJ161" s="50" t="s">
        <v>200</v>
      </c>
      <c r="BK161" s="50" t="s">
        <v>200</v>
      </c>
      <c r="BL161" s="50" t="s">
        <v>200</v>
      </c>
      <c r="BM161" s="50" t="s">
        <v>436</v>
      </c>
      <c r="BN161" s="50" t="s">
        <v>318</v>
      </c>
      <c r="BO161" s="50" t="s">
        <v>91</v>
      </c>
      <c r="BP161" s="50" t="s">
        <v>286</v>
      </c>
      <c r="BQ161" s="50" t="s">
        <v>287</v>
      </c>
      <c r="BR161" s="50" t="s">
        <v>403</v>
      </c>
      <c r="BS161" s="111">
        <v>4</v>
      </c>
      <c r="BT161" s="50" t="s">
        <v>286</v>
      </c>
      <c r="BU161" s="50" t="s">
        <v>312</v>
      </c>
      <c r="BV161" s="50" t="s">
        <v>288</v>
      </c>
      <c r="BW161" s="50" t="s">
        <v>304</v>
      </c>
      <c r="BX161" s="50" t="s">
        <v>300</v>
      </c>
      <c r="BY161" s="50" t="s">
        <v>288</v>
      </c>
      <c r="BZ161" s="50" t="s">
        <v>287</v>
      </c>
      <c r="CA161" s="50"/>
      <c r="CB161" s="50" t="s">
        <v>287</v>
      </c>
      <c r="CC161" s="50" t="s">
        <v>287</v>
      </c>
      <c r="CD161" s="50" t="s">
        <v>287</v>
      </c>
      <c r="CE161" s="50"/>
      <c r="CF161" s="50" t="s">
        <v>287</v>
      </c>
      <c r="CG161" s="50" t="s">
        <v>287</v>
      </c>
      <c r="CH161" s="50" t="s">
        <v>486</v>
      </c>
      <c r="CI161" s="50" t="s">
        <v>287</v>
      </c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1:97" ht="36.75" customHeight="1" thickBot="1">
      <c r="A162" s="49">
        <v>46086.567800925928</v>
      </c>
      <c r="B162" s="50" t="s">
        <v>40</v>
      </c>
      <c r="C162" s="50" t="s">
        <v>45</v>
      </c>
      <c r="D162" s="50" t="s">
        <v>374</v>
      </c>
      <c r="E162" s="50" t="s">
        <v>61</v>
      </c>
      <c r="F162" s="50" t="s">
        <v>286</v>
      </c>
      <c r="G162" s="50" t="s">
        <v>73</v>
      </c>
      <c r="H162" s="50" t="s">
        <v>537</v>
      </c>
      <c r="I162" s="50" t="s">
        <v>81</v>
      </c>
      <c r="J162" s="50" t="s">
        <v>286</v>
      </c>
      <c r="K162" s="50" t="s">
        <v>287</v>
      </c>
      <c r="L162" s="50" t="s">
        <v>336</v>
      </c>
      <c r="M162" s="50" t="s">
        <v>7</v>
      </c>
      <c r="N162" s="111">
        <v>5</v>
      </c>
      <c r="O162" s="111">
        <v>5</v>
      </c>
      <c r="P162" s="111">
        <v>5</v>
      </c>
      <c r="Q162" s="111">
        <v>5</v>
      </c>
      <c r="R162" s="111">
        <v>5</v>
      </c>
      <c r="S162" s="111">
        <v>5</v>
      </c>
      <c r="T162" s="111">
        <v>5</v>
      </c>
      <c r="U162" s="111">
        <v>5</v>
      </c>
      <c r="V162" s="111">
        <v>5</v>
      </c>
      <c r="W162" s="111">
        <v>5</v>
      </c>
      <c r="X162" s="111">
        <v>5</v>
      </c>
      <c r="Y162" s="111">
        <v>5</v>
      </c>
      <c r="Z162" s="111">
        <v>5</v>
      </c>
      <c r="AA162" s="111">
        <v>5</v>
      </c>
      <c r="AB162" s="111">
        <v>5</v>
      </c>
      <c r="AC162" s="111">
        <v>5</v>
      </c>
      <c r="AD162" s="111">
        <v>5</v>
      </c>
      <c r="AE162" s="111">
        <v>5</v>
      </c>
      <c r="AF162" s="111">
        <v>5</v>
      </c>
      <c r="AG162" s="111">
        <v>5</v>
      </c>
      <c r="AH162" s="111">
        <v>5</v>
      </c>
      <c r="AI162" s="111">
        <v>5</v>
      </c>
      <c r="AJ162" s="111">
        <v>5</v>
      </c>
      <c r="AK162" s="111">
        <v>5</v>
      </c>
      <c r="AL162" s="111">
        <v>5</v>
      </c>
      <c r="AM162" s="111">
        <v>5</v>
      </c>
      <c r="AN162" s="111">
        <v>5</v>
      </c>
      <c r="AO162" s="111">
        <v>5</v>
      </c>
      <c r="AP162" s="111">
        <v>5</v>
      </c>
      <c r="AQ162" s="111">
        <v>5</v>
      </c>
      <c r="AR162" s="111">
        <v>5</v>
      </c>
      <c r="AS162" s="111">
        <v>5</v>
      </c>
      <c r="AT162" s="111">
        <v>5</v>
      </c>
      <c r="AU162" s="111">
        <v>5</v>
      </c>
      <c r="AV162" s="50" t="s">
        <v>199</v>
      </c>
      <c r="AW162" s="50" t="s">
        <v>199</v>
      </c>
      <c r="AX162" s="50" t="s">
        <v>199</v>
      </c>
      <c r="AY162" s="50" t="s">
        <v>200</v>
      </c>
      <c r="AZ162" s="50" t="s">
        <v>200</v>
      </c>
      <c r="BA162" s="50" t="s">
        <v>200</v>
      </c>
      <c r="BB162" s="50" t="s">
        <v>200</v>
      </c>
      <c r="BC162" s="50" t="s">
        <v>200</v>
      </c>
      <c r="BD162" s="50" t="s">
        <v>200</v>
      </c>
      <c r="BE162" s="50" t="s">
        <v>200</v>
      </c>
      <c r="BF162" s="50" t="s">
        <v>200</v>
      </c>
      <c r="BG162" s="50" t="s">
        <v>200</v>
      </c>
      <c r="BH162" s="50" t="s">
        <v>200</v>
      </c>
      <c r="BI162" s="50" t="s">
        <v>200</v>
      </c>
      <c r="BJ162" s="50" t="s">
        <v>200</v>
      </c>
      <c r="BK162" s="50" t="s">
        <v>200</v>
      </c>
      <c r="BL162" s="50" t="s">
        <v>200</v>
      </c>
      <c r="BM162" s="50" t="s">
        <v>436</v>
      </c>
      <c r="BN162" s="50" t="s">
        <v>318</v>
      </c>
      <c r="BO162" s="50" t="s">
        <v>91</v>
      </c>
      <c r="BP162" s="50" t="s">
        <v>286</v>
      </c>
      <c r="BQ162" s="50" t="s">
        <v>287</v>
      </c>
      <c r="BR162" s="50" t="s">
        <v>403</v>
      </c>
      <c r="BS162" s="111">
        <v>4</v>
      </c>
      <c r="BT162" s="50" t="s">
        <v>286</v>
      </c>
      <c r="BU162" s="50" t="s">
        <v>312</v>
      </c>
      <c r="BV162" s="50" t="s">
        <v>288</v>
      </c>
      <c r="BW162" s="50" t="s">
        <v>304</v>
      </c>
      <c r="BX162" s="50" t="s">
        <v>290</v>
      </c>
      <c r="BY162" s="50" t="s">
        <v>288</v>
      </c>
      <c r="BZ162" s="50" t="s">
        <v>287</v>
      </c>
      <c r="CA162" s="50"/>
      <c r="CB162" s="50" t="s">
        <v>287</v>
      </c>
      <c r="CC162" s="50" t="s">
        <v>287</v>
      </c>
      <c r="CD162" s="50" t="s">
        <v>287</v>
      </c>
      <c r="CE162" s="50"/>
      <c r="CF162" s="50" t="s">
        <v>287</v>
      </c>
      <c r="CG162" s="50" t="s">
        <v>287</v>
      </c>
      <c r="CH162" s="50" t="s">
        <v>486</v>
      </c>
      <c r="CI162" s="50" t="s">
        <v>287</v>
      </c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1:97" ht="36.75" customHeight="1" thickBot="1">
      <c r="A163" s="49">
        <v>46086.571689814817</v>
      </c>
      <c r="B163" s="50" t="s">
        <v>40</v>
      </c>
      <c r="C163" s="50" t="s">
        <v>45</v>
      </c>
      <c r="D163" s="50" t="s">
        <v>369</v>
      </c>
      <c r="E163" s="50" t="s">
        <v>285</v>
      </c>
      <c r="F163" s="50" t="s">
        <v>286</v>
      </c>
      <c r="G163" s="50" t="s">
        <v>73</v>
      </c>
      <c r="H163" s="50" t="s">
        <v>286</v>
      </c>
      <c r="I163" s="50" t="s">
        <v>81</v>
      </c>
      <c r="J163" s="50" t="s">
        <v>286</v>
      </c>
      <c r="K163" s="50" t="s">
        <v>91</v>
      </c>
      <c r="L163" s="50" t="s">
        <v>336</v>
      </c>
      <c r="M163" s="50" t="s">
        <v>7</v>
      </c>
      <c r="N163" s="111">
        <v>5</v>
      </c>
      <c r="O163" s="111">
        <v>5</v>
      </c>
      <c r="P163" s="111">
        <v>5</v>
      </c>
      <c r="Q163" s="111">
        <v>5</v>
      </c>
      <c r="R163" s="111">
        <v>5</v>
      </c>
      <c r="S163" s="111">
        <v>5</v>
      </c>
      <c r="T163" s="111">
        <v>5</v>
      </c>
      <c r="U163" s="111">
        <v>5</v>
      </c>
      <c r="V163" s="111">
        <v>5</v>
      </c>
      <c r="W163" s="111">
        <v>5</v>
      </c>
      <c r="X163" s="111">
        <v>5</v>
      </c>
      <c r="Y163" s="111">
        <v>5</v>
      </c>
      <c r="Z163" s="111">
        <v>5</v>
      </c>
      <c r="AA163" s="111">
        <v>5</v>
      </c>
      <c r="AB163" s="111">
        <v>5</v>
      </c>
      <c r="AC163" s="111">
        <v>5</v>
      </c>
      <c r="AD163" s="111">
        <v>5</v>
      </c>
      <c r="AE163" s="111">
        <v>5</v>
      </c>
      <c r="AF163" s="111">
        <v>5</v>
      </c>
      <c r="AG163" s="111">
        <v>5</v>
      </c>
      <c r="AH163" s="111">
        <v>5</v>
      </c>
      <c r="AI163" s="111">
        <v>5</v>
      </c>
      <c r="AJ163" s="111">
        <v>5</v>
      </c>
      <c r="AK163" s="111">
        <v>5</v>
      </c>
      <c r="AL163" s="111">
        <v>5</v>
      </c>
      <c r="AM163" s="111">
        <v>5</v>
      </c>
      <c r="AN163" s="111">
        <v>5</v>
      </c>
      <c r="AO163" s="111">
        <v>5</v>
      </c>
      <c r="AP163" s="111">
        <v>5</v>
      </c>
      <c r="AQ163" s="111">
        <v>5</v>
      </c>
      <c r="AR163" s="111">
        <v>5</v>
      </c>
      <c r="AS163" s="111">
        <v>5</v>
      </c>
      <c r="AT163" s="111">
        <v>5</v>
      </c>
      <c r="AU163" s="111">
        <v>5</v>
      </c>
      <c r="AV163" s="50" t="s">
        <v>199</v>
      </c>
      <c r="AW163" s="50" t="s">
        <v>199</v>
      </c>
      <c r="AX163" s="50" t="s">
        <v>199</v>
      </c>
      <c r="AY163" s="50" t="s">
        <v>200</v>
      </c>
      <c r="AZ163" s="50" t="s">
        <v>200</v>
      </c>
      <c r="BA163" s="50" t="s">
        <v>200</v>
      </c>
      <c r="BB163" s="50" t="s">
        <v>200</v>
      </c>
      <c r="BC163" s="50" t="s">
        <v>200</v>
      </c>
      <c r="BD163" s="50" t="s">
        <v>200</v>
      </c>
      <c r="BE163" s="50" t="s">
        <v>200</v>
      </c>
      <c r="BF163" s="50" t="s">
        <v>200</v>
      </c>
      <c r="BG163" s="50" t="s">
        <v>200</v>
      </c>
      <c r="BH163" s="50" t="s">
        <v>200</v>
      </c>
      <c r="BI163" s="50" t="s">
        <v>200</v>
      </c>
      <c r="BJ163" s="50" t="s">
        <v>200</v>
      </c>
      <c r="BK163" s="50" t="s">
        <v>200</v>
      </c>
      <c r="BL163" s="50" t="s">
        <v>200</v>
      </c>
      <c r="BM163" s="50" t="s">
        <v>436</v>
      </c>
      <c r="BN163" s="50" t="s">
        <v>318</v>
      </c>
      <c r="BO163" s="50" t="s">
        <v>91</v>
      </c>
      <c r="BP163" s="50" t="s">
        <v>286</v>
      </c>
      <c r="BQ163" s="50" t="s">
        <v>287</v>
      </c>
      <c r="BR163" s="50" t="s">
        <v>408</v>
      </c>
      <c r="BS163" s="111">
        <v>4</v>
      </c>
      <c r="BT163" s="50" t="s">
        <v>286</v>
      </c>
      <c r="BU163" s="50" t="s">
        <v>312</v>
      </c>
      <c r="BV163" s="50" t="s">
        <v>288</v>
      </c>
      <c r="BW163" s="50" t="s">
        <v>289</v>
      </c>
      <c r="BX163" s="50" t="s">
        <v>300</v>
      </c>
      <c r="BY163" s="50" t="s">
        <v>288</v>
      </c>
      <c r="BZ163" s="50" t="s">
        <v>287</v>
      </c>
      <c r="CA163" s="50"/>
      <c r="CB163" s="50" t="s">
        <v>287</v>
      </c>
      <c r="CC163" s="50" t="s">
        <v>287</v>
      </c>
      <c r="CD163" s="50" t="s">
        <v>287</v>
      </c>
      <c r="CE163" s="50"/>
      <c r="CF163" s="50" t="s">
        <v>287</v>
      </c>
      <c r="CG163" s="50" t="s">
        <v>287</v>
      </c>
      <c r="CH163" s="50" t="s">
        <v>486</v>
      </c>
      <c r="CI163" s="50" t="s">
        <v>287</v>
      </c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1:97" ht="36.75" customHeight="1" thickBot="1">
      <c r="A164" s="49">
        <v>46086.574386574073</v>
      </c>
      <c r="B164" s="50" t="s">
        <v>40</v>
      </c>
      <c r="C164" s="50" t="s">
        <v>45</v>
      </c>
      <c r="D164" s="50" t="s">
        <v>374</v>
      </c>
      <c r="E164" s="50" t="s">
        <v>62</v>
      </c>
      <c r="F164" s="50" t="s">
        <v>286</v>
      </c>
      <c r="G164" s="50" t="s">
        <v>292</v>
      </c>
      <c r="H164" s="50" t="s">
        <v>330</v>
      </c>
      <c r="I164" s="50" t="s">
        <v>81</v>
      </c>
      <c r="J164" s="50" t="s">
        <v>286</v>
      </c>
      <c r="K164" s="50" t="s">
        <v>287</v>
      </c>
      <c r="L164" s="50" t="s">
        <v>336</v>
      </c>
      <c r="M164" s="50" t="s">
        <v>7</v>
      </c>
      <c r="N164" s="111">
        <v>5</v>
      </c>
      <c r="O164" s="111">
        <v>5</v>
      </c>
      <c r="P164" s="111">
        <v>5</v>
      </c>
      <c r="Q164" s="111">
        <v>5</v>
      </c>
      <c r="R164" s="111">
        <v>5</v>
      </c>
      <c r="S164" s="111">
        <v>5</v>
      </c>
      <c r="T164" s="111">
        <v>5</v>
      </c>
      <c r="U164" s="111">
        <v>5</v>
      </c>
      <c r="V164" s="111">
        <v>5</v>
      </c>
      <c r="W164" s="111">
        <v>5</v>
      </c>
      <c r="X164" s="111">
        <v>5</v>
      </c>
      <c r="Y164" s="111">
        <v>5</v>
      </c>
      <c r="Z164" s="111">
        <v>5</v>
      </c>
      <c r="AA164" s="111">
        <v>5</v>
      </c>
      <c r="AB164" s="111">
        <v>5</v>
      </c>
      <c r="AC164" s="111">
        <v>5</v>
      </c>
      <c r="AD164" s="111">
        <v>5</v>
      </c>
      <c r="AE164" s="111">
        <v>5</v>
      </c>
      <c r="AF164" s="111">
        <v>5</v>
      </c>
      <c r="AG164" s="111">
        <v>5</v>
      </c>
      <c r="AH164" s="111">
        <v>5</v>
      </c>
      <c r="AI164" s="111">
        <v>5</v>
      </c>
      <c r="AJ164" s="111">
        <v>5</v>
      </c>
      <c r="AK164" s="111">
        <v>5</v>
      </c>
      <c r="AL164" s="111">
        <v>5</v>
      </c>
      <c r="AM164" s="111">
        <v>5</v>
      </c>
      <c r="AN164" s="111">
        <v>5</v>
      </c>
      <c r="AO164" s="111">
        <v>5</v>
      </c>
      <c r="AP164" s="111">
        <v>5</v>
      </c>
      <c r="AQ164" s="111">
        <v>5</v>
      </c>
      <c r="AR164" s="111">
        <v>5</v>
      </c>
      <c r="AS164" s="111">
        <v>5</v>
      </c>
      <c r="AT164" s="111">
        <v>5</v>
      </c>
      <c r="AU164" s="111">
        <v>5</v>
      </c>
      <c r="AV164" s="50" t="s">
        <v>199</v>
      </c>
      <c r="AW164" s="50" t="s">
        <v>199</v>
      </c>
      <c r="AX164" s="50" t="s">
        <v>199</v>
      </c>
      <c r="AY164" s="50" t="s">
        <v>200</v>
      </c>
      <c r="AZ164" s="50" t="s">
        <v>200</v>
      </c>
      <c r="BA164" s="50" t="s">
        <v>200</v>
      </c>
      <c r="BB164" s="50" t="s">
        <v>200</v>
      </c>
      <c r="BC164" s="50" t="s">
        <v>200</v>
      </c>
      <c r="BD164" s="50" t="s">
        <v>200</v>
      </c>
      <c r="BE164" s="50" t="s">
        <v>200</v>
      </c>
      <c r="BF164" s="50" t="s">
        <v>200</v>
      </c>
      <c r="BG164" s="50" t="s">
        <v>200</v>
      </c>
      <c r="BH164" s="50" t="s">
        <v>200</v>
      </c>
      <c r="BI164" s="50" t="s">
        <v>200</v>
      </c>
      <c r="BJ164" s="50" t="s">
        <v>200</v>
      </c>
      <c r="BK164" s="50" t="s">
        <v>200</v>
      </c>
      <c r="BL164" s="50" t="s">
        <v>200</v>
      </c>
      <c r="BM164" s="50" t="s">
        <v>436</v>
      </c>
      <c r="BN164" s="50" t="s">
        <v>318</v>
      </c>
      <c r="BO164" s="50" t="s">
        <v>91</v>
      </c>
      <c r="BP164" s="50" t="s">
        <v>286</v>
      </c>
      <c r="BQ164" s="50" t="s">
        <v>287</v>
      </c>
      <c r="BR164" s="50" t="s">
        <v>414</v>
      </c>
      <c r="BS164" s="111">
        <v>4</v>
      </c>
      <c r="BT164" s="50" t="s">
        <v>286</v>
      </c>
      <c r="BU164" s="50" t="s">
        <v>312</v>
      </c>
      <c r="BV164" s="50" t="s">
        <v>288</v>
      </c>
      <c r="BW164" s="50" t="s">
        <v>304</v>
      </c>
      <c r="BX164" s="50" t="s">
        <v>300</v>
      </c>
      <c r="BY164" s="50" t="s">
        <v>288</v>
      </c>
      <c r="BZ164" s="50" t="s">
        <v>287</v>
      </c>
      <c r="CA164" s="50"/>
      <c r="CB164" s="50" t="s">
        <v>287</v>
      </c>
      <c r="CC164" s="50" t="s">
        <v>287</v>
      </c>
      <c r="CD164" s="50" t="s">
        <v>287</v>
      </c>
      <c r="CE164" s="50"/>
      <c r="CF164" s="50" t="s">
        <v>287</v>
      </c>
      <c r="CG164" s="50" t="s">
        <v>287</v>
      </c>
      <c r="CH164" s="50" t="s">
        <v>486</v>
      </c>
      <c r="CI164" s="50" t="s">
        <v>287</v>
      </c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1:97" ht="36.75" customHeight="1" thickBot="1">
      <c r="A165" s="49">
        <v>46086.576354166667</v>
      </c>
      <c r="B165" s="50" t="s">
        <v>40</v>
      </c>
      <c r="C165" s="50" t="s">
        <v>45</v>
      </c>
      <c r="D165" s="50" t="s">
        <v>374</v>
      </c>
      <c r="E165" s="50" t="s">
        <v>61</v>
      </c>
      <c r="F165" s="50" t="s">
        <v>286</v>
      </c>
      <c r="G165" s="50" t="s">
        <v>73</v>
      </c>
      <c r="H165" s="50" t="s">
        <v>314</v>
      </c>
      <c r="I165" s="50" t="s">
        <v>81</v>
      </c>
      <c r="J165" s="50" t="s">
        <v>286</v>
      </c>
      <c r="K165" s="50" t="s">
        <v>287</v>
      </c>
      <c r="L165" s="50" t="s">
        <v>336</v>
      </c>
      <c r="M165" s="50" t="s">
        <v>7</v>
      </c>
      <c r="N165" s="111">
        <v>5</v>
      </c>
      <c r="O165" s="111">
        <v>5</v>
      </c>
      <c r="P165" s="111">
        <v>5</v>
      </c>
      <c r="Q165" s="111">
        <v>5</v>
      </c>
      <c r="R165" s="111">
        <v>5</v>
      </c>
      <c r="S165" s="111">
        <v>5</v>
      </c>
      <c r="T165" s="111">
        <v>5</v>
      </c>
      <c r="U165" s="111">
        <v>5</v>
      </c>
      <c r="V165" s="111">
        <v>5</v>
      </c>
      <c r="W165" s="111">
        <v>5</v>
      </c>
      <c r="X165" s="111">
        <v>5</v>
      </c>
      <c r="Y165" s="111">
        <v>5</v>
      </c>
      <c r="Z165" s="111">
        <v>5</v>
      </c>
      <c r="AA165" s="111">
        <v>5</v>
      </c>
      <c r="AB165" s="111">
        <v>5</v>
      </c>
      <c r="AC165" s="111">
        <v>5</v>
      </c>
      <c r="AD165" s="111">
        <v>5</v>
      </c>
      <c r="AE165" s="111">
        <v>5</v>
      </c>
      <c r="AF165" s="111">
        <v>5</v>
      </c>
      <c r="AG165" s="111">
        <v>5</v>
      </c>
      <c r="AH165" s="111">
        <v>5</v>
      </c>
      <c r="AI165" s="111">
        <v>5</v>
      </c>
      <c r="AJ165" s="111">
        <v>5</v>
      </c>
      <c r="AK165" s="111">
        <v>5</v>
      </c>
      <c r="AL165" s="111">
        <v>5</v>
      </c>
      <c r="AM165" s="111">
        <v>5</v>
      </c>
      <c r="AN165" s="111">
        <v>5</v>
      </c>
      <c r="AO165" s="111">
        <v>5</v>
      </c>
      <c r="AP165" s="111">
        <v>5</v>
      </c>
      <c r="AQ165" s="111">
        <v>5</v>
      </c>
      <c r="AR165" s="111">
        <v>5</v>
      </c>
      <c r="AS165" s="111">
        <v>5</v>
      </c>
      <c r="AT165" s="111">
        <v>5</v>
      </c>
      <c r="AU165" s="111">
        <v>5</v>
      </c>
      <c r="AV165" s="50" t="s">
        <v>199</v>
      </c>
      <c r="AW165" s="50" t="s">
        <v>199</v>
      </c>
      <c r="AX165" s="50" t="s">
        <v>199</v>
      </c>
      <c r="AY165" s="50" t="s">
        <v>200</v>
      </c>
      <c r="AZ165" s="50" t="s">
        <v>200</v>
      </c>
      <c r="BA165" s="50" t="s">
        <v>200</v>
      </c>
      <c r="BB165" s="50" t="s">
        <v>200</v>
      </c>
      <c r="BC165" s="50" t="s">
        <v>200</v>
      </c>
      <c r="BD165" s="50" t="s">
        <v>200</v>
      </c>
      <c r="BE165" s="50" t="s">
        <v>200</v>
      </c>
      <c r="BF165" s="50" t="s">
        <v>200</v>
      </c>
      <c r="BG165" s="50" t="s">
        <v>200</v>
      </c>
      <c r="BH165" s="50" t="s">
        <v>200</v>
      </c>
      <c r="BI165" s="50" t="s">
        <v>200</v>
      </c>
      <c r="BJ165" s="50" t="s">
        <v>200</v>
      </c>
      <c r="BK165" s="50" t="s">
        <v>200</v>
      </c>
      <c r="BL165" s="50" t="s">
        <v>200</v>
      </c>
      <c r="BM165" s="50" t="s">
        <v>436</v>
      </c>
      <c r="BN165" s="50" t="s">
        <v>318</v>
      </c>
      <c r="BO165" s="50" t="s">
        <v>91</v>
      </c>
      <c r="BP165" s="50" t="s">
        <v>286</v>
      </c>
      <c r="BQ165" s="50" t="s">
        <v>287</v>
      </c>
      <c r="BR165" s="50" t="s">
        <v>403</v>
      </c>
      <c r="BS165" s="111">
        <v>4</v>
      </c>
      <c r="BT165" s="50" t="s">
        <v>286</v>
      </c>
      <c r="BU165" s="50" t="s">
        <v>312</v>
      </c>
      <c r="BV165" s="50" t="s">
        <v>288</v>
      </c>
      <c r="BW165" s="50" t="s">
        <v>289</v>
      </c>
      <c r="BX165" s="50" t="s">
        <v>300</v>
      </c>
      <c r="BY165" s="50" t="s">
        <v>288</v>
      </c>
      <c r="BZ165" s="50" t="s">
        <v>287</v>
      </c>
      <c r="CA165" s="50"/>
      <c r="CB165" s="50" t="s">
        <v>287</v>
      </c>
      <c r="CC165" s="50" t="s">
        <v>287</v>
      </c>
      <c r="CD165" s="50" t="s">
        <v>287</v>
      </c>
      <c r="CE165" s="50"/>
      <c r="CF165" s="50" t="s">
        <v>287</v>
      </c>
      <c r="CG165" s="50" t="s">
        <v>287</v>
      </c>
      <c r="CH165" s="50" t="s">
        <v>486</v>
      </c>
      <c r="CI165" s="50" t="s">
        <v>287</v>
      </c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1:97" ht="36.75" customHeight="1" thickBot="1">
      <c r="A166" s="49">
        <v>46086.578449074077</v>
      </c>
      <c r="B166" s="50" t="s">
        <v>36</v>
      </c>
      <c r="C166" s="50" t="s">
        <v>45</v>
      </c>
      <c r="D166" s="50" t="s">
        <v>369</v>
      </c>
      <c r="E166" s="50" t="s">
        <v>285</v>
      </c>
      <c r="F166" s="50" t="s">
        <v>286</v>
      </c>
      <c r="G166" s="50" t="s">
        <v>73</v>
      </c>
      <c r="H166" s="50" t="s">
        <v>430</v>
      </c>
      <c r="I166" s="50" t="s">
        <v>92</v>
      </c>
      <c r="J166" s="50" t="s">
        <v>286</v>
      </c>
      <c r="K166" s="50" t="s">
        <v>287</v>
      </c>
      <c r="L166" s="50" t="s">
        <v>336</v>
      </c>
      <c r="M166" s="50" t="s">
        <v>7</v>
      </c>
      <c r="N166" s="111">
        <v>5</v>
      </c>
      <c r="O166" s="111">
        <v>5</v>
      </c>
      <c r="P166" s="111">
        <v>5</v>
      </c>
      <c r="Q166" s="111">
        <v>5</v>
      </c>
      <c r="R166" s="111">
        <v>5</v>
      </c>
      <c r="S166" s="111">
        <v>5</v>
      </c>
      <c r="T166" s="111">
        <v>5</v>
      </c>
      <c r="U166" s="111">
        <v>5</v>
      </c>
      <c r="V166" s="111">
        <v>5</v>
      </c>
      <c r="W166" s="111">
        <v>5</v>
      </c>
      <c r="X166" s="111">
        <v>5</v>
      </c>
      <c r="Y166" s="111">
        <v>5</v>
      </c>
      <c r="Z166" s="111">
        <v>5</v>
      </c>
      <c r="AA166" s="111">
        <v>5</v>
      </c>
      <c r="AB166" s="111">
        <v>5</v>
      </c>
      <c r="AC166" s="111">
        <v>5</v>
      </c>
      <c r="AD166" s="111">
        <v>5</v>
      </c>
      <c r="AE166" s="111">
        <v>5</v>
      </c>
      <c r="AF166" s="111">
        <v>5</v>
      </c>
      <c r="AG166" s="111">
        <v>5</v>
      </c>
      <c r="AH166" s="111">
        <v>5</v>
      </c>
      <c r="AI166" s="111">
        <v>5</v>
      </c>
      <c r="AJ166" s="111">
        <v>5</v>
      </c>
      <c r="AK166" s="111">
        <v>5</v>
      </c>
      <c r="AL166" s="111">
        <v>5</v>
      </c>
      <c r="AM166" s="111">
        <v>5</v>
      </c>
      <c r="AN166" s="111">
        <v>5</v>
      </c>
      <c r="AO166" s="111">
        <v>5</v>
      </c>
      <c r="AP166" s="111">
        <v>5</v>
      </c>
      <c r="AQ166" s="111">
        <v>5</v>
      </c>
      <c r="AR166" s="111">
        <v>5</v>
      </c>
      <c r="AS166" s="111">
        <v>5</v>
      </c>
      <c r="AT166" s="111">
        <v>5</v>
      </c>
      <c r="AU166" s="111">
        <v>5</v>
      </c>
      <c r="AV166" s="50" t="s">
        <v>199</v>
      </c>
      <c r="AW166" s="50" t="s">
        <v>199</v>
      </c>
      <c r="AX166" s="50" t="s">
        <v>199</v>
      </c>
      <c r="AY166" s="50" t="s">
        <v>200</v>
      </c>
      <c r="AZ166" s="50" t="s">
        <v>200</v>
      </c>
      <c r="BA166" s="50" t="s">
        <v>200</v>
      </c>
      <c r="BB166" s="50" t="s">
        <v>200</v>
      </c>
      <c r="BC166" s="50" t="s">
        <v>200</v>
      </c>
      <c r="BD166" s="50" t="s">
        <v>200</v>
      </c>
      <c r="BE166" s="50" t="s">
        <v>200</v>
      </c>
      <c r="BF166" s="50" t="s">
        <v>200</v>
      </c>
      <c r="BG166" s="50" t="s">
        <v>200</v>
      </c>
      <c r="BH166" s="50" t="s">
        <v>200</v>
      </c>
      <c r="BI166" s="50" t="s">
        <v>200</v>
      </c>
      <c r="BJ166" s="50" t="s">
        <v>200</v>
      </c>
      <c r="BK166" s="50" t="s">
        <v>200</v>
      </c>
      <c r="BL166" s="50" t="s">
        <v>200</v>
      </c>
      <c r="BM166" s="50" t="s">
        <v>436</v>
      </c>
      <c r="BN166" s="50" t="s">
        <v>318</v>
      </c>
      <c r="BO166" s="50" t="s">
        <v>91</v>
      </c>
      <c r="BP166" s="50" t="s">
        <v>286</v>
      </c>
      <c r="BQ166" s="50" t="s">
        <v>287</v>
      </c>
      <c r="BR166" s="50" t="s">
        <v>408</v>
      </c>
      <c r="BS166" s="111">
        <v>4</v>
      </c>
      <c r="BT166" s="50" t="s">
        <v>286</v>
      </c>
      <c r="BU166" s="50" t="s">
        <v>312</v>
      </c>
      <c r="BV166" s="50" t="s">
        <v>288</v>
      </c>
      <c r="BW166" s="50" t="s">
        <v>289</v>
      </c>
      <c r="BX166" s="50" t="s">
        <v>300</v>
      </c>
      <c r="BY166" s="50" t="s">
        <v>288</v>
      </c>
      <c r="BZ166" s="50" t="s">
        <v>287</v>
      </c>
      <c r="CA166" s="50"/>
      <c r="CB166" s="50" t="s">
        <v>287</v>
      </c>
      <c r="CC166" s="50" t="s">
        <v>287</v>
      </c>
      <c r="CD166" s="50" t="s">
        <v>287</v>
      </c>
      <c r="CE166" s="50"/>
      <c r="CF166" s="50" t="s">
        <v>287</v>
      </c>
      <c r="CG166" s="50" t="s">
        <v>287</v>
      </c>
      <c r="CH166" s="50" t="s">
        <v>486</v>
      </c>
      <c r="CI166" s="50" t="s">
        <v>287</v>
      </c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1:97" ht="36.75" customHeight="1" thickBot="1">
      <c r="A167" s="49">
        <v>46086.582418981481</v>
      </c>
      <c r="B167" s="50" t="s">
        <v>40</v>
      </c>
      <c r="C167" s="50" t="s">
        <v>46</v>
      </c>
      <c r="D167" s="50" t="s">
        <v>374</v>
      </c>
      <c r="E167" s="50" t="s">
        <v>59</v>
      </c>
      <c r="F167" s="50" t="s">
        <v>286</v>
      </c>
      <c r="G167" s="50" t="s">
        <v>73</v>
      </c>
      <c r="H167" s="50" t="s">
        <v>422</v>
      </c>
      <c r="I167" s="50" t="s">
        <v>81</v>
      </c>
      <c r="J167" s="50" t="s">
        <v>286</v>
      </c>
      <c r="K167" s="50" t="s">
        <v>287</v>
      </c>
      <c r="L167" s="50" t="s">
        <v>336</v>
      </c>
      <c r="M167" s="50" t="s">
        <v>7</v>
      </c>
      <c r="N167" s="111">
        <v>5</v>
      </c>
      <c r="O167" s="111">
        <v>5</v>
      </c>
      <c r="P167" s="111">
        <v>5</v>
      </c>
      <c r="Q167" s="111">
        <v>5</v>
      </c>
      <c r="R167" s="111">
        <v>5</v>
      </c>
      <c r="S167" s="111">
        <v>5</v>
      </c>
      <c r="T167" s="111">
        <v>5</v>
      </c>
      <c r="U167" s="111">
        <v>5</v>
      </c>
      <c r="V167" s="111">
        <v>5</v>
      </c>
      <c r="W167" s="111">
        <v>5</v>
      </c>
      <c r="X167" s="111">
        <v>5</v>
      </c>
      <c r="Y167" s="111">
        <v>5</v>
      </c>
      <c r="Z167" s="111">
        <v>5</v>
      </c>
      <c r="AA167" s="111">
        <v>5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5</v>
      </c>
      <c r="AH167" s="111">
        <v>5</v>
      </c>
      <c r="AI167" s="111">
        <v>5</v>
      </c>
      <c r="AJ167" s="111">
        <v>5</v>
      </c>
      <c r="AK167" s="111">
        <v>5</v>
      </c>
      <c r="AL167" s="111">
        <v>5</v>
      </c>
      <c r="AM167" s="111">
        <v>5</v>
      </c>
      <c r="AN167" s="111">
        <v>5</v>
      </c>
      <c r="AO167" s="111">
        <v>5</v>
      </c>
      <c r="AP167" s="111">
        <v>5</v>
      </c>
      <c r="AQ167" s="111">
        <v>5</v>
      </c>
      <c r="AR167" s="111">
        <v>5</v>
      </c>
      <c r="AS167" s="111">
        <v>5</v>
      </c>
      <c r="AT167" s="111">
        <v>5</v>
      </c>
      <c r="AU167" s="111">
        <v>5</v>
      </c>
      <c r="AV167" s="50" t="s">
        <v>199</v>
      </c>
      <c r="AW167" s="50" t="s">
        <v>199</v>
      </c>
      <c r="AX167" s="50" t="s">
        <v>199</v>
      </c>
      <c r="AY167" s="50" t="s">
        <v>200</v>
      </c>
      <c r="AZ167" s="50" t="s">
        <v>200</v>
      </c>
      <c r="BA167" s="50" t="s">
        <v>200</v>
      </c>
      <c r="BB167" s="50" t="s">
        <v>200</v>
      </c>
      <c r="BC167" s="50" t="s">
        <v>200</v>
      </c>
      <c r="BD167" s="50" t="s">
        <v>200</v>
      </c>
      <c r="BE167" s="50" t="s">
        <v>200</v>
      </c>
      <c r="BF167" s="50" t="s">
        <v>200</v>
      </c>
      <c r="BG167" s="50" t="s">
        <v>200</v>
      </c>
      <c r="BH167" s="50" t="s">
        <v>200</v>
      </c>
      <c r="BI167" s="50" t="s">
        <v>200</v>
      </c>
      <c r="BJ167" s="50" t="s">
        <v>200</v>
      </c>
      <c r="BK167" s="50" t="s">
        <v>200</v>
      </c>
      <c r="BL167" s="50" t="s">
        <v>200</v>
      </c>
      <c r="BM167" s="50" t="s">
        <v>436</v>
      </c>
      <c r="BN167" s="50" t="s">
        <v>318</v>
      </c>
      <c r="BO167" s="50" t="s">
        <v>91</v>
      </c>
      <c r="BP167" s="50" t="s">
        <v>286</v>
      </c>
      <c r="BQ167" s="50" t="s">
        <v>287</v>
      </c>
      <c r="BR167" s="50" t="s">
        <v>403</v>
      </c>
      <c r="BS167" s="111">
        <v>4</v>
      </c>
      <c r="BT167" s="50" t="s">
        <v>286</v>
      </c>
      <c r="BU167" s="50" t="s">
        <v>312</v>
      </c>
      <c r="BV167" s="50" t="s">
        <v>288</v>
      </c>
      <c r="BW167" s="50" t="s">
        <v>293</v>
      </c>
      <c r="BX167" s="50" t="s">
        <v>290</v>
      </c>
      <c r="BY167" s="50" t="s">
        <v>288</v>
      </c>
      <c r="BZ167" s="50" t="s">
        <v>287</v>
      </c>
      <c r="CA167" s="50"/>
      <c r="CB167" s="50" t="s">
        <v>287</v>
      </c>
      <c r="CC167" s="50" t="s">
        <v>287</v>
      </c>
      <c r="CD167" s="50" t="s">
        <v>287</v>
      </c>
      <c r="CE167" s="50"/>
      <c r="CF167" s="50" t="s">
        <v>287</v>
      </c>
      <c r="CG167" s="50" t="s">
        <v>287</v>
      </c>
      <c r="CH167" s="50" t="s">
        <v>486</v>
      </c>
      <c r="CI167" s="50" t="s">
        <v>287</v>
      </c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1:97" ht="36.75" customHeight="1" thickBot="1">
      <c r="A168" s="49">
        <v>46086.588402777779</v>
      </c>
      <c r="B168" s="50" t="s">
        <v>40</v>
      </c>
      <c r="C168" s="50" t="s">
        <v>45</v>
      </c>
      <c r="D168" s="50" t="s">
        <v>374</v>
      </c>
      <c r="E168" s="50" t="s">
        <v>59</v>
      </c>
      <c r="F168" s="50" t="s">
        <v>286</v>
      </c>
      <c r="G168" s="50" t="s">
        <v>73</v>
      </c>
      <c r="H168" s="50" t="s">
        <v>421</v>
      </c>
      <c r="I168" s="50" t="s">
        <v>81</v>
      </c>
      <c r="J168" s="50" t="s">
        <v>286</v>
      </c>
      <c r="K168" s="50" t="s">
        <v>287</v>
      </c>
      <c r="L168" s="50" t="s">
        <v>336</v>
      </c>
      <c r="M168" s="50" t="s">
        <v>7</v>
      </c>
      <c r="N168" s="111">
        <v>5</v>
      </c>
      <c r="O168" s="111">
        <v>5</v>
      </c>
      <c r="P168" s="111">
        <v>5</v>
      </c>
      <c r="Q168" s="111">
        <v>5</v>
      </c>
      <c r="R168" s="111">
        <v>5</v>
      </c>
      <c r="S168" s="111">
        <v>5</v>
      </c>
      <c r="T168" s="111">
        <v>5</v>
      </c>
      <c r="U168" s="111">
        <v>5</v>
      </c>
      <c r="V168" s="111">
        <v>5</v>
      </c>
      <c r="W168" s="111">
        <v>5</v>
      </c>
      <c r="X168" s="111">
        <v>5</v>
      </c>
      <c r="Y168" s="111">
        <v>5</v>
      </c>
      <c r="Z168" s="111">
        <v>5</v>
      </c>
      <c r="AA168" s="111">
        <v>5</v>
      </c>
      <c r="AB168" s="111">
        <v>5</v>
      </c>
      <c r="AC168" s="111">
        <v>5</v>
      </c>
      <c r="AD168" s="111">
        <v>5</v>
      </c>
      <c r="AE168" s="111">
        <v>5</v>
      </c>
      <c r="AF168" s="111">
        <v>5</v>
      </c>
      <c r="AG168" s="111">
        <v>5</v>
      </c>
      <c r="AH168" s="111">
        <v>5</v>
      </c>
      <c r="AI168" s="111">
        <v>5</v>
      </c>
      <c r="AJ168" s="111">
        <v>5</v>
      </c>
      <c r="AK168" s="111">
        <v>5</v>
      </c>
      <c r="AL168" s="111">
        <v>5</v>
      </c>
      <c r="AM168" s="111">
        <v>5</v>
      </c>
      <c r="AN168" s="111">
        <v>5</v>
      </c>
      <c r="AO168" s="111">
        <v>5</v>
      </c>
      <c r="AP168" s="111">
        <v>5</v>
      </c>
      <c r="AQ168" s="111">
        <v>5</v>
      </c>
      <c r="AR168" s="111">
        <v>5</v>
      </c>
      <c r="AS168" s="111">
        <v>5</v>
      </c>
      <c r="AT168" s="111">
        <v>5</v>
      </c>
      <c r="AU168" s="111">
        <v>5</v>
      </c>
      <c r="AV168" s="50" t="s">
        <v>199</v>
      </c>
      <c r="AW168" s="50" t="s">
        <v>199</v>
      </c>
      <c r="AX168" s="50" t="s">
        <v>199</v>
      </c>
      <c r="AY168" s="50" t="s">
        <v>200</v>
      </c>
      <c r="AZ168" s="50" t="s">
        <v>200</v>
      </c>
      <c r="BA168" s="50" t="s">
        <v>200</v>
      </c>
      <c r="BB168" s="50" t="s">
        <v>200</v>
      </c>
      <c r="BC168" s="50" t="s">
        <v>200</v>
      </c>
      <c r="BD168" s="50" t="s">
        <v>200</v>
      </c>
      <c r="BE168" s="50" t="s">
        <v>200</v>
      </c>
      <c r="BF168" s="50" t="s">
        <v>200</v>
      </c>
      <c r="BG168" s="50" t="s">
        <v>200</v>
      </c>
      <c r="BH168" s="50" t="s">
        <v>200</v>
      </c>
      <c r="BI168" s="50" t="s">
        <v>200</v>
      </c>
      <c r="BJ168" s="50" t="s">
        <v>200</v>
      </c>
      <c r="BK168" s="50" t="s">
        <v>200</v>
      </c>
      <c r="BL168" s="50" t="s">
        <v>200</v>
      </c>
      <c r="BM168" s="50" t="s">
        <v>436</v>
      </c>
      <c r="BN168" s="50" t="s">
        <v>318</v>
      </c>
      <c r="BO168" s="50" t="s">
        <v>91</v>
      </c>
      <c r="BP168" s="50" t="s">
        <v>286</v>
      </c>
      <c r="BQ168" s="50" t="s">
        <v>287</v>
      </c>
      <c r="BR168" s="50" t="s">
        <v>407</v>
      </c>
      <c r="BS168" s="111">
        <v>4</v>
      </c>
      <c r="BT168" s="50" t="s">
        <v>286</v>
      </c>
      <c r="BU168" s="50" t="s">
        <v>312</v>
      </c>
      <c r="BV168" s="50" t="s">
        <v>288</v>
      </c>
      <c r="BW168" s="50" t="s">
        <v>304</v>
      </c>
      <c r="BX168" s="50" t="s">
        <v>290</v>
      </c>
      <c r="BY168" s="50" t="s">
        <v>288</v>
      </c>
      <c r="BZ168" s="50" t="s">
        <v>287</v>
      </c>
      <c r="CA168" s="50"/>
      <c r="CB168" s="50" t="s">
        <v>287</v>
      </c>
      <c r="CC168" s="50" t="s">
        <v>287</v>
      </c>
      <c r="CD168" s="50" t="s">
        <v>287</v>
      </c>
      <c r="CE168" s="50"/>
      <c r="CF168" s="50" t="s">
        <v>287</v>
      </c>
      <c r="CG168" s="50" t="s">
        <v>287</v>
      </c>
      <c r="CH168" s="50" t="s">
        <v>486</v>
      </c>
      <c r="CI168" s="50" t="s">
        <v>287</v>
      </c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1:97" ht="36.75" customHeight="1" thickBot="1">
      <c r="A169" s="49">
        <v>46086.590115740742</v>
      </c>
      <c r="B169" s="50" t="s">
        <v>40</v>
      </c>
      <c r="C169" s="50" t="s">
        <v>45</v>
      </c>
      <c r="D169" s="50" t="s">
        <v>374</v>
      </c>
      <c r="E169" s="50" t="s">
        <v>61</v>
      </c>
      <c r="F169" s="50" t="s">
        <v>286</v>
      </c>
      <c r="G169" s="50" t="s">
        <v>292</v>
      </c>
      <c r="H169" s="50" t="s">
        <v>330</v>
      </c>
      <c r="I169" s="50" t="s">
        <v>81</v>
      </c>
      <c r="J169" s="50" t="s">
        <v>286</v>
      </c>
      <c r="K169" s="50" t="s">
        <v>287</v>
      </c>
      <c r="L169" s="50" t="s">
        <v>336</v>
      </c>
      <c r="M169" s="50" t="s">
        <v>7</v>
      </c>
      <c r="N169" s="111">
        <v>5</v>
      </c>
      <c r="O169" s="111">
        <v>5</v>
      </c>
      <c r="P169" s="111">
        <v>5</v>
      </c>
      <c r="Q169" s="111">
        <v>5</v>
      </c>
      <c r="R169" s="111">
        <v>5</v>
      </c>
      <c r="S169" s="111">
        <v>5</v>
      </c>
      <c r="T169" s="111">
        <v>5</v>
      </c>
      <c r="U169" s="111">
        <v>5</v>
      </c>
      <c r="V169" s="111">
        <v>5</v>
      </c>
      <c r="W169" s="111">
        <v>5</v>
      </c>
      <c r="X169" s="111">
        <v>5</v>
      </c>
      <c r="Y169" s="111">
        <v>5</v>
      </c>
      <c r="Z169" s="111">
        <v>5</v>
      </c>
      <c r="AA169" s="111">
        <v>5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5</v>
      </c>
      <c r="AH169" s="111">
        <v>5</v>
      </c>
      <c r="AI169" s="111">
        <v>5</v>
      </c>
      <c r="AJ169" s="111">
        <v>5</v>
      </c>
      <c r="AK169" s="111">
        <v>5</v>
      </c>
      <c r="AL169" s="111">
        <v>5</v>
      </c>
      <c r="AM169" s="111">
        <v>5</v>
      </c>
      <c r="AN169" s="111">
        <v>5</v>
      </c>
      <c r="AO169" s="111">
        <v>5</v>
      </c>
      <c r="AP169" s="111">
        <v>5</v>
      </c>
      <c r="AQ169" s="111">
        <v>5</v>
      </c>
      <c r="AR169" s="111">
        <v>5</v>
      </c>
      <c r="AS169" s="111">
        <v>5</v>
      </c>
      <c r="AT169" s="111">
        <v>5</v>
      </c>
      <c r="AU169" s="111">
        <v>5</v>
      </c>
      <c r="AV169" s="50" t="s">
        <v>199</v>
      </c>
      <c r="AW169" s="50" t="s">
        <v>199</v>
      </c>
      <c r="AX169" s="50" t="s">
        <v>199</v>
      </c>
      <c r="AY169" s="50" t="s">
        <v>200</v>
      </c>
      <c r="AZ169" s="50" t="s">
        <v>200</v>
      </c>
      <c r="BA169" s="50" t="s">
        <v>200</v>
      </c>
      <c r="BB169" s="50" t="s">
        <v>200</v>
      </c>
      <c r="BC169" s="50" t="s">
        <v>200</v>
      </c>
      <c r="BD169" s="50" t="s">
        <v>200</v>
      </c>
      <c r="BE169" s="50" t="s">
        <v>200</v>
      </c>
      <c r="BF169" s="50" t="s">
        <v>200</v>
      </c>
      <c r="BG169" s="50" t="s">
        <v>200</v>
      </c>
      <c r="BH169" s="50" t="s">
        <v>200</v>
      </c>
      <c r="BI169" s="50" t="s">
        <v>200</v>
      </c>
      <c r="BJ169" s="50" t="s">
        <v>200</v>
      </c>
      <c r="BK169" s="50" t="s">
        <v>200</v>
      </c>
      <c r="BL169" s="50" t="s">
        <v>200</v>
      </c>
      <c r="BM169" s="50" t="s">
        <v>436</v>
      </c>
      <c r="BN169" s="50" t="s">
        <v>318</v>
      </c>
      <c r="BO169" s="50" t="s">
        <v>91</v>
      </c>
      <c r="BP169" s="50" t="s">
        <v>286</v>
      </c>
      <c r="BQ169" s="50" t="s">
        <v>287</v>
      </c>
      <c r="BR169" s="50" t="s">
        <v>412</v>
      </c>
      <c r="BS169" s="111">
        <v>4</v>
      </c>
      <c r="BT169" s="50" t="s">
        <v>286</v>
      </c>
      <c r="BU169" s="50" t="s">
        <v>312</v>
      </c>
      <c r="BV169" s="50" t="s">
        <v>288</v>
      </c>
      <c r="BW169" s="50" t="s">
        <v>304</v>
      </c>
      <c r="BX169" s="50" t="s">
        <v>290</v>
      </c>
      <c r="BY169" s="50" t="s">
        <v>288</v>
      </c>
      <c r="BZ169" s="50" t="s">
        <v>287</v>
      </c>
      <c r="CA169" s="50"/>
      <c r="CB169" s="50" t="s">
        <v>287</v>
      </c>
      <c r="CC169" s="50" t="s">
        <v>287</v>
      </c>
      <c r="CD169" s="50" t="s">
        <v>287</v>
      </c>
      <c r="CE169" s="50"/>
      <c r="CF169" s="50" t="s">
        <v>287</v>
      </c>
      <c r="CG169" s="50" t="s">
        <v>287</v>
      </c>
      <c r="CH169" s="50" t="s">
        <v>409</v>
      </c>
      <c r="CI169" s="50" t="s">
        <v>287</v>
      </c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1:97" ht="36.75" customHeight="1" thickBot="1">
      <c r="A170" s="49">
        <v>46086.5934375</v>
      </c>
      <c r="B170" s="50" t="s">
        <v>40</v>
      </c>
      <c r="C170" s="50" t="s">
        <v>45</v>
      </c>
      <c r="D170" s="50" t="s">
        <v>374</v>
      </c>
      <c r="E170" s="50" t="s">
        <v>61</v>
      </c>
      <c r="F170" s="50" t="s">
        <v>286</v>
      </c>
      <c r="G170" s="50" t="s">
        <v>73</v>
      </c>
      <c r="H170" s="50" t="s">
        <v>328</v>
      </c>
      <c r="I170" s="50" t="s">
        <v>81</v>
      </c>
      <c r="J170" s="50" t="s">
        <v>286</v>
      </c>
      <c r="K170" s="50" t="s">
        <v>287</v>
      </c>
      <c r="L170" s="50" t="s">
        <v>336</v>
      </c>
      <c r="M170" s="50" t="s">
        <v>7</v>
      </c>
      <c r="N170" s="111">
        <v>5</v>
      </c>
      <c r="O170" s="111">
        <v>5</v>
      </c>
      <c r="P170" s="111">
        <v>5</v>
      </c>
      <c r="Q170" s="111">
        <v>5</v>
      </c>
      <c r="R170" s="111">
        <v>5</v>
      </c>
      <c r="S170" s="111">
        <v>5</v>
      </c>
      <c r="T170" s="111">
        <v>5</v>
      </c>
      <c r="U170" s="111">
        <v>5</v>
      </c>
      <c r="V170" s="111">
        <v>5</v>
      </c>
      <c r="W170" s="111">
        <v>5</v>
      </c>
      <c r="X170" s="111">
        <v>5</v>
      </c>
      <c r="Y170" s="111">
        <v>5</v>
      </c>
      <c r="Z170" s="111">
        <v>5</v>
      </c>
      <c r="AA170" s="111">
        <v>5</v>
      </c>
      <c r="AB170" s="111">
        <v>5</v>
      </c>
      <c r="AC170" s="111">
        <v>5</v>
      </c>
      <c r="AD170" s="111">
        <v>5</v>
      </c>
      <c r="AE170" s="111">
        <v>5</v>
      </c>
      <c r="AF170" s="111">
        <v>5</v>
      </c>
      <c r="AG170" s="111">
        <v>5</v>
      </c>
      <c r="AH170" s="111">
        <v>5</v>
      </c>
      <c r="AI170" s="111">
        <v>5</v>
      </c>
      <c r="AJ170" s="111">
        <v>5</v>
      </c>
      <c r="AK170" s="111">
        <v>5</v>
      </c>
      <c r="AL170" s="111">
        <v>5</v>
      </c>
      <c r="AM170" s="111">
        <v>5</v>
      </c>
      <c r="AN170" s="111">
        <v>5</v>
      </c>
      <c r="AO170" s="111">
        <v>5</v>
      </c>
      <c r="AP170" s="111">
        <v>5</v>
      </c>
      <c r="AQ170" s="111">
        <v>5</v>
      </c>
      <c r="AR170" s="111">
        <v>5</v>
      </c>
      <c r="AS170" s="111">
        <v>5</v>
      </c>
      <c r="AT170" s="111">
        <v>5</v>
      </c>
      <c r="AU170" s="111">
        <v>5</v>
      </c>
      <c r="AV170" s="50" t="s">
        <v>199</v>
      </c>
      <c r="AW170" s="50" t="s">
        <v>199</v>
      </c>
      <c r="AX170" s="50" t="s">
        <v>199</v>
      </c>
      <c r="AY170" s="50" t="s">
        <v>200</v>
      </c>
      <c r="AZ170" s="50" t="s">
        <v>200</v>
      </c>
      <c r="BA170" s="50" t="s">
        <v>200</v>
      </c>
      <c r="BB170" s="50" t="s">
        <v>200</v>
      </c>
      <c r="BC170" s="50" t="s">
        <v>200</v>
      </c>
      <c r="BD170" s="50" t="s">
        <v>200</v>
      </c>
      <c r="BE170" s="50" t="s">
        <v>200</v>
      </c>
      <c r="BF170" s="50" t="s">
        <v>200</v>
      </c>
      <c r="BG170" s="50" t="s">
        <v>200</v>
      </c>
      <c r="BH170" s="50" t="s">
        <v>200</v>
      </c>
      <c r="BI170" s="50" t="s">
        <v>200</v>
      </c>
      <c r="BJ170" s="50" t="s">
        <v>200</v>
      </c>
      <c r="BK170" s="50" t="s">
        <v>200</v>
      </c>
      <c r="BL170" s="50" t="s">
        <v>200</v>
      </c>
      <c r="BM170" s="50" t="s">
        <v>436</v>
      </c>
      <c r="BN170" s="50" t="s">
        <v>318</v>
      </c>
      <c r="BO170" s="50" t="s">
        <v>91</v>
      </c>
      <c r="BP170" s="50" t="s">
        <v>286</v>
      </c>
      <c r="BQ170" s="50" t="s">
        <v>287</v>
      </c>
      <c r="BR170" s="50" t="s">
        <v>412</v>
      </c>
      <c r="BS170" s="111">
        <v>4</v>
      </c>
      <c r="BT170" s="50" t="s">
        <v>286</v>
      </c>
      <c r="BU170" s="50" t="s">
        <v>312</v>
      </c>
      <c r="BV170" s="50" t="s">
        <v>288</v>
      </c>
      <c r="BW170" s="50" t="s">
        <v>304</v>
      </c>
      <c r="BX170" s="50" t="s">
        <v>290</v>
      </c>
      <c r="BY170" s="50" t="s">
        <v>288</v>
      </c>
      <c r="BZ170" s="50" t="s">
        <v>287</v>
      </c>
      <c r="CA170" s="50"/>
      <c r="CB170" s="50" t="s">
        <v>287</v>
      </c>
      <c r="CC170" s="50" t="s">
        <v>287</v>
      </c>
      <c r="CD170" s="50" t="s">
        <v>287</v>
      </c>
      <c r="CE170" s="50"/>
      <c r="CF170" s="50" t="s">
        <v>287</v>
      </c>
      <c r="CG170" s="50" t="s">
        <v>287</v>
      </c>
      <c r="CH170" s="50" t="s">
        <v>409</v>
      </c>
      <c r="CI170" s="50" t="s">
        <v>287</v>
      </c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1:97" ht="36.75" customHeight="1" thickBot="1">
      <c r="A171" s="49">
        <v>46086.595138888886</v>
      </c>
      <c r="B171" s="50" t="s">
        <v>40</v>
      </c>
      <c r="C171" s="50" t="s">
        <v>45</v>
      </c>
      <c r="D171" s="50" t="s">
        <v>369</v>
      </c>
      <c r="E171" s="50" t="s">
        <v>285</v>
      </c>
      <c r="F171" s="50" t="s">
        <v>286</v>
      </c>
      <c r="G171" s="50" t="s">
        <v>73</v>
      </c>
      <c r="H171" s="50" t="s">
        <v>298</v>
      </c>
      <c r="I171" s="50" t="s">
        <v>81</v>
      </c>
      <c r="J171" s="50" t="s">
        <v>286</v>
      </c>
      <c r="K171" s="50" t="s">
        <v>287</v>
      </c>
      <c r="L171" s="50" t="s">
        <v>336</v>
      </c>
      <c r="M171" s="50" t="s">
        <v>7</v>
      </c>
      <c r="N171" s="111">
        <v>5</v>
      </c>
      <c r="O171" s="111">
        <v>5</v>
      </c>
      <c r="P171" s="111">
        <v>5</v>
      </c>
      <c r="Q171" s="111">
        <v>5</v>
      </c>
      <c r="R171" s="111">
        <v>5</v>
      </c>
      <c r="S171" s="111">
        <v>5</v>
      </c>
      <c r="T171" s="111">
        <v>5</v>
      </c>
      <c r="U171" s="111">
        <v>5</v>
      </c>
      <c r="V171" s="111">
        <v>5</v>
      </c>
      <c r="W171" s="111">
        <v>5</v>
      </c>
      <c r="X171" s="111">
        <v>5</v>
      </c>
      <c r="Y171" s="111">
        <v>5</v>
      </c>
      <c r="Z171" s="111">
        <v>5</v>
      </c>
      <c r="AA171" s="111">
        <v>5</v>
      </c>
      <c r="AB171" s="111">
        <v>5</v>
      </c>
      <c r="AC171" s="111">
        <v>5</v>
      </c>
      <c r="AD171" s="111">
        <v>5</v>
      </c>
      <c r="AE171" s="111">
        <v>5</v>
      </c>
      <c r="AF171" s="111">
        <v>5</v>
      </c>
      <c r="AG171" s="111">
        <v>5</v>
      </c>
      <c r="AH171" s="111">
        <v>5</v>
      </c>
      <c r="AI171" s="111">
        <v>5</v>
      </c>
      <c r="AJ171" s="111">
        <v>5</v>
      </c>
      <c r="AK171" s="111">
        <v>5</v>
      </c>
      <c r="AL171" s="111">
        <v>5</v>
      </c>
      <c r="AM171" s="111">
        <v>5</v>
      </c>
      <c r="AN171" s="111">
        <v>5</v>
      </c>
      <c r="AO171" s="111">
        <v>5</v>
      </c>
      <c r="AP171" s="111">
        <v>5</v>
      </c>
      <c r="AQ171" s="111">
        <v>5</v>
      </c>
      <c r="AR171" s="111">
        <v>5</v>
      </c>
      <c r="AS171" s="111">
        <v>5</v>
      </c>
      <c r="AT171" s="111">
        <v>5</v>
      </c>
      <c r="AU171" s="111">
        <v>5</v>
      </c>
      <c r="AV171" s="50" t="s">
        <v>199</v>
      </c>
      <c r="AW171" s="50" t="s">
        <v>199</v>
      </c>
      <c r="AX171" s="50" t="s">
        <v>199</v>
      </c>
      <c r="AY171" s="50" t="s">
        <v>200</v>
      </c>
      <c r="AZ171" s="50" t="s">
        <v>200</v>
      </c>
      <c r="BA171" s="50" t="s">
        <v>200</v>
      </c>
      <c r="BB171" s="50" t="s">
        <v>200</v>
      </c>
      <c r="BC171" s="50" t="s">
        <v>200</v>
      </c>
      <c r="BD171" s="50" t="s">
        <v>200</v>
      </c>
      <c r="BE171" s="50" t="s">
        <v>200</v>
      </c>
      <c r="BF171" s="50" t="s">
        <v>200</v>
      </c>
      <c r="BG171" s="50" t="s">
        <v>200</v>
      </c>
      <c r="BH171" s="50" t="s">
        <v>200</v>
      </c>
      <c r="BI171" s="50" t="s">
        <v>200</v>
      </c>
      <c r="BJ171" s="50" t="s">
        <v>200</v>
      </c>
      <c r="BK171" s="50" t="s">
        <v>200</v>
      </c>
      <c r="BL171" s="50" t="s">
        <v>200</v>
      </c>
      <c r="BM171" s="50" t="s">
        <v>436</v>
      </c>
      <c r="BN171" s="50" t="s">
        <v>318</v>
      </c>
      <c r="BO171" s="50" t="s">
        <v>91</v>
      </c>
      <c r="BP171" s="50" t="s">
        <v>286</v>
      </c>
      <c r="BQ171" s="50" t="s">
        <v>287</v>
      </c>
      <c r="BR171" s="50" t="s">
        <v>412</v>
      </c>
      <c r="BS171" s="111">
        <v>4</v>
      </c>
      <c r="BT171" s="50" t="s">
        <v>286</v>
      </c>
      <c r="BU171" s="50" t="s">
        <v>312</v>
      </c>
      <c r="BV171" s="50" t="s">
        <v>288</v>
      </c>
      <c r="BW171" s="50" t="s">
        <v>293</v>
      </c>
      <c r="BX171" s="50" t="s">
        <v>300</v>
      </c>
      <c r="BY171" s="50" t="s">
        <v>288</v>
      </c>
      <c r="BZ171" s="50" t="s">
        <v>287</v>
      </c>
      <c r="CA171" s="50"/>
      <c r="CB171" s="50" t="s">
        <v>287</v>
      </c>
      <c r="CC171" s="50" t="s">
        <v>287</v>
      </c>
      <c r="CD171" s="50" t="s">
        <v>287</v>
      </c>
      <c r="CE171" s="50"/>
      <c r="CF171" s="50" t="s">
        <v>287</v>
      </c>
      <c r="CG171" s="50" t="s">
        <v>287</v>
      </c>
      <c r="CH171" s="50" t="s">
        <v>486</v>
      </c>
      <c r="CI171" s="50" t="s">
        <v>287</v>
      </c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1:97" ht="36.75" customHeight="1" thickBot="1">
      <c r="A172" s="49">
        <v>46086.60365740741</v>
      </c>
      <c r="B172" s="50" t="s">
        <v>36</v>
      </c>
      <c r="C172" s="50" t="s">
        <v>45</v>
      </c>
      <c r="D172" s="50" t="s">
        <v>374</v>
      </c>
      <c r="E172" s="50" t="s">
        <v>61</v>
      </c>
      <c r="F172" s="50" t="s">
        <v>286</v>
      </c>
      <c r="G172" s="50" t="s">
        <v>74</v>
      </c>
      <c r="H172" s="50" t="s">
        <v>302</v>
      </c>
      <c r="I172" s="50" t="s">
        <v>91</v>
      </c>
      <c r="J172" s="50" t="s">
        <v>286</v>
      </c>
      <c r="K172" s="50" t="s">
        <v>287</v>
      </c>
      <c r="L172" s="50" t="s">
        <v>286</v>
      </c>
      <c r="M172" s="50" t="s">
        <v>370</v>
      </c>
      <c r="N172" s="111">
        <v>5</v>
      </c>
      <c r="O172" s="111">
        <v>5</v>
      </c>
      <c r="P172" s="111">
        <v>5</v>
      </c>
      <c r="Q172" s="111">
        <v>5</v>
      </c>
      <c r="R172" s="111">
        <v>5</v>
      </c>
      <c r="S172" s="111">
        <v>6</v>
      </c>
      <c r="T172" s="111">
        <v>5</v>
      </c>
      <c r="U172" s="111">
        <v>5</v>
      </c>
      <c r="V172" s="111">
        <v>6</v>
      </c>
      <c r="W172" s="111">
        <v>6</v>
      </c>
      <c r="X172" s="111">
        <v>6</v>
      </c>
      <c r="Y172" s="111">
        <v>6</v>
      </c>
      <c r="Z172" s="111">
        <v>6</v>
      </c>
      <c r="AA172" s="111">
        <v>6</v>
      </c>
      <c r="AB172" s="111">
        <v>6</v>
      </c>
      <c r="AC172" s="111">
        <v>5</v>
      </c>
      <c r="AD172" s="111">
        <v>5</v>
      </c>
      <c r="AE172" s="111">
        <v>5</v>
      </c>
      <c r="AF172" s="111">
        <v>5</v>
      </c>
      <c r="AG172" s="111">
        <v>5</v>
      </c>
      <c r="AH172" s="111">
        <v>5</v>
      </c>
      <c r="AI172" s="111">
        <v>5</v>
      </c>
      <c r="AJ172" s="111">
        <v>5</v>
      </c>
      <c r="AK172" s="111">
        <v>5</v>
      </c>
      <c r="AL172" s="111">
        <v>5</v>
      </c>
      <c r="AM172" s="111">
        <v>5</v>
      </c>
      <c r="AN172" s="111">
        <v>5</v>
      </c>
      <c r="AO172" s="111">
        <v>5</v>
      </c>
      <c r="AP172" s="111">
        <v>5</v>
      </c>
      <c r="AQ172" s="111">
        <v>6</v>
      </c>
      <c r="AR172" s="111">
        <v>5</v>
      </c>
      <c r="AS172" s="111">
        <v>5</v>
      </c>
      <c r="AT172" s="111">
        <v>5</v>
      </c>
      <c r="AU172" s="111">
        <v>5</v>
      </c>
      <c r="AV172" s="50" t="s">
        <v>202</v>
      </c>
      <c r="AW172" s="50" t="s">
        <v>202</v>
      </c>
      <c r="AX172" s="50" t="s">
        <v>201</v>
      </c>
      <c r="AY172" s="50" t="s">
        <v>199</v>
      </c>
      <c r="AZ172" s="50" t="s">
        <v>202</v>
      </c>
      <c r="BA172" s="50" t="s">
        <v>199</v>
      </c>
      <c r="BB172" s="50" t="s">
        <v>202</v>
      </c>
      <c r="BC172" s="50" t="s">
        <v>202</v>
      </c>
      <c r="BD172" s="50" t="s">
        <v>202</v>
      </c>
      <c r="BE172" s="50" t="s">
        <v>202</v>
      </c>
      <c r="BF172" s="50" t="s">
        <v>201</v>
      </c>
      <c r="BG172" s="50" t="s">
        <v>202</v>
      </c>
      <c r="BH172" s="50" t="s">
        <v>200</v>
      </c>
      <c r="BI172" s="50" t="s">
        <v>202</v>
      </c>
      <c r="BJ172" s="50" t="s">
        <v>202</v>
      </c>
      <c r="BK172" s="50" t="s">
        <v>202</v>
      </c>
      <c r="BL172" s="50" t="s">
        <v>202</v>
      </c>
      <c r="BM172" s="50" t="s">
        <v>436</v>
      </c>
      <c r="BN172" s="50" t="s">
        <v>479</v>
      </c>
      <c r="BO172" s="50" t="s">
        <v>91</v>
      </c>
      <c r="BP172" s="50" t="s">
        <v>286</v>
      </c>
      <c r="BQ172" s="50" t="s">
        <v>287</v>
      </c>
      <c r="BR172" s="50" t="s">
        <v>372</v>
      </c>
      <c r="BS172" s="111">
        <v>5</v>
      </c>
      <c r="BT172" s="50" t="s">
        <v>286</v>
      </c>
      <c r="BU172" s="50" t="s">
        <v>348</v>
      </c>
      <c r="BV172" s="50" t="s">
        <v>288</v>
      </c>
      <c r="BW172" s="50" t="s">
        <v>350</v>
      </c>
      <c r="BX172" s="50" t="s">
        <v>387</v>
      </c>
      <c r="BY172" s="50" t="s">
        <v>288</v>
      </c>
      <c r="BZ172" s="50" t="s">
        <v>287</v>
      </c>
      <c r="CA172" s="50"/>
      <c r="CB172" s="50" t="s">
        <v>287</v>
      </c>
      <c r="CC172" s="50" t="s">
        <v>287</v>
      </c>
      <c r="CD172" s="50" t="s">
        <v>287</v>
      </c>
      <c r="CE172" s="50"/>
      <c r="CF172" s="50" t="s">
        <v>287</v>
      </c>
      <c r="CG172" s="50" t="s">
        <v>287</v>
      </c>
      <c r="CH172" s="50" t="s">
        <v>486</v>
      </c>
      <c r="CI172" s="50" t="s">
        <v>287</v>
      </c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1:97" ht="36.75" customHeight="1" thickBot="1">
      <c r="A173" s="49">
        <v>46086.606388888889</v>
      </c>
      <c r="B173" s="50" t="s">
        <v>40</v>
      </c>
      <c r="C173" s="50" t="s">
        <v>46</v>
      </c>
      <c r="D173" s="50" t="s">
        <v>369</v>
      </c>
      <c r="E173" s="50" t="s">
        <v>61</v>
      </c>
      <c r="F173" s="50" t="s">
        <v>286</v>
      </c>
      <c r="G173" s="50" t="s">
        <v>74</v>
      </c>
      <c r="H173" s="50" t="s">
        <v>302</v>
      </c>
      <c r="I173" s="50" t="s">
        <v>91</v>
      </c>
      <c r="J173" s="50" t="s">
        <v>286</v>
      </c>
      <c r="K173" s="50" t="s">
        <v>291</v>
      </c>
      <c r="L173" s="50" t="s">
        <v>286</v>
      </c>
      <c r="M173" s="50" t="s">
        <v>370</v>
      </c>
      <c r="N173" s="111">
        <v>5</v>
      </c>
      <c r="O173" s="111">
        <v>4</v>
      </c>
      <c r="P173" s="111">
        <v>5</v>
      </c>
      <c r="Q173" s="111">
        <v>6</v>
      </c>
      <c r="R173" s="111">
        <v>6</v>
      </c>
      <c r="S173" s="111">
        <v>6</v>
      </c>
      <c r="T173" s="111">
        <v>3</v>
      </c>
      <c r="U173" s="111">
        <v>5</v>
      </c>
      <c r="V173" s="111">
        <v>6</v>
      </c>
      <c r="W173" s="111">
        <v>6</v>
      </c>
      <c r="X173" s="111">
        <v>6</v>
      </c>
      <c r="Y173" s="111">
        <v>6</v>
      </c>
      <c r="Z173" s="111">
        <v>6</v>
      </c>
      <c r="AA173" s="111">
        <v>6</v>
      </c>
      <c r="AB173" s="111">
        <v>6</v>
      </c>
      <c r="AC173" s="111">
        <v>5</v>
      </c>
      <c r="AD173" s="111">
        <v>5</v>
      </c>
      <c r="AE173" s="111">
        <v>5</v>
      </c>
      <c r="AF173" s="111">
        <v>5</v>
      </c>
      <c r="AG173" s="111">
        <v>5</v>
      </c>
      <c r="AH173" s="111">
        <v>5</v>
      </c>
      <c r="AI173" s="111">
        <v>5</v>
      </c>
      <c r="AJ173" s="111">
        <v>5</v>
      </c>
      <c r="AK173" s="111">
        <v>4</v>
      </c>
      <c r="AL173" s="111">
        <v>5</v>
      </c>
      <c r="AM173" s="111">
        <v>4</v>
      </c>
      <c r="AN173" s="111">
        <v>4</v>
      </c>
      <c r="AO173" s="111">
        <v>4</v>
      </c>
      <c r="AP173" s="111">
        <v>4</v>
      </c>
      <c r="AQ173" s="111">
        <v>6</v>
      </c>
      <c r="AR173" s="111">
        <v>4</v>
      </c>
      <c r="AS173" s="111">
        <v>4</v>
      </c>
      <c r="AT173" s="111">
        <v>4</v>
      </c>
      <c r="AU173" s="111">
        <v>4</v>
      </c>
      <c r="AV173" s="50" t="s">
        <v>202</v>
      </c>
      <c r="AW173" s="50" t="s">
        <v>202</v>
      </c>
      <c r="AX173" s="50" t="s">
        <v>201</v>
      </c>
      <c r="AY173" s="50" t="s">
        <v>199</v>
      </c>
      <c r="AZ173" s="50" t="s">
        <v>202</v>
      </c>
      <c r="BA173" s="50" t="s">
        <v>199</v>
      </c>
      <c r="BB173" s="50" t="s">
        <v>202</v>
      </c>
      <c r="BC173" s="50" t="s">
        <v>202</v>
      </c>
      <c r="BD173" s="50" t="s">
        <v>202</v>
      </c>
      <c r="BE173" s="50" t="s">
        <v>200</v>
      </c>
      <c r="BF173" s="50" t="s">
        <v>201</v>
      </c>
      <c r="BG173" s="50" t="s">
        <v>202</v>
      </c>
      <c r="BH173" s="50" t="s">
        <v>199</v>
      </c>
      <c r="BI173" s="50" t="s">
        <v>202</v>
      </c>
      <c r="BJ173" s="50" t="s">
        <v>202</v>
      </c>
      <c r="BK173" s="50" t="s">
        <v>202</v>
      </c>
      <c r="BL173" s="50" t="s">
        <v>202</v>
      </c>
      <c r="BM173" s="50" t="s">
        <v>436</v>
      </c>
      <c r="BN173" s="50" t="s">
        <v>443</v>
      </c>
      <c r="BO173" s="50" t="s">
        <v>91</v>
      </c>
      <c r="BP173" s="50" t="s">
        <v>286</v>
      </c>
      <c r="BQ173" s="50" t="s">
        <v>287</v>
      </c>
      <c r="BR173" s="50" t="s">
        <v>372</v>
      </c>
      <c r="BS173" s="111">
        <v>5</v>
      </c>
      <c r="BT173" s="50" t="s">
        <v>286</v>
      </c>
      <c r="BU173" s="50" t="s">
        <v>348</v>
      </c>
      <c r="BV173" s="50" t="s">
        <v>288</v>
      </c>
      <c r="BW173" s="50" t="s">
        <v>350</v>
      </c>
      <c r="BX173" s="50" t="s">
        <v>387</v>
      </c>
      <c r="BY173" s="50" t="s">
        <v>288</v>
      </c>
      <c r="BZ173" s="50" t="s">
        <v>287</v>
      </c>
      <c r="CA173" s="50"/>
      <c r="CB173" s="50" t="s">
        <v>287</v>
      </c>
      <c r="CC173" s="50" t="s">
        <v>287</v>
      </c>
      <c r="CD173" s="50" t="s">
        <v>287</v>
      </c>
      <c r="CE173" s="50"/>
      <c r="CF173" s="50" t="s">
        <v>287</v>
      </c>
      <c r="CG173" s="50" t="s">
        <v>287</v>
      </c>
      <c r="CH173" s="50" t="s">
        <v>486</v>
      </c>
      <c r="CI173" s="50" t="s">
        <v>287</v>
      </c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1:97" ht="36.75" customHeight="1" thickBot="1">
      <c r="A174" s="49">
        <v>46086.610625000001</v>
      </c>
      <c r="B174" s="50" t="s">
        <v>38</v>
      </c>
      <c r="C174" s="50" t="s">
        <v>45</v>
      </c>
      <c r="D174" s="50" t="s">
        <v>369</v>
      </c>
      <c r="E174" s="50" t="s">
        <v>285</v>
      </c>
      <c r="F174" s="50"/>
      <c r="G174" s="50" t="s">
        <v>74</v>
      </c>
      <c r="H174" s="50" t="s">
        <v>429</v>
      </c>
      <c r="I174" s="50" t="s">
        <v>91</v>
      </c>
      <c r="J174" s="50" t="s">
        <v>286</v>
      </c>
      <c r="K174" s="50" t="s">
        <v>291</v>
      </c>
      <c r="L174" s="50" t="s">
        <v>286</v>
      </c>
      <c r="M174" s="50" t="s">
        <v>370</v>
      </c>
      <c r="N174" s="111">
        <v>5</v>
      </c>
      <c r="O174" s="111">
        <v>5</v>
      </c>
      <c r="P174" s="111">
        <v>5</v>
      </c>
      <c r="Q174" s="111">
        <v>6</v>
      </c>
      <c r="R174" s="111">
        <v>6</v>
      </c>
      <c r="S174" s="111">
        <v>6</v>
      </c>
      <c r="T174" s="111">
        <v>4</v>
      </c>
      <c r="U174" s="111">
        <v>5</v>
      </c>
      <c r="V174" s="111">
        <v>6</v>
      </c>
      <c r="W174" s="111">
        <v>6</v>
      </c>
      <c r="X174" s="111">
        <v>6</v>
      </c>
      <c r="Y174" s="111">
        <v>6</v>
      </c>
      <c r="Z174" s="111">
        <v>6</v>
      </c>
      <c r="AA174" s="111">
        <v>6</v>
      </c>
      <c r="AB174" s="111">
        <v>6</v>
      </c>
      <c r="AC174" s="111">
        <v>5</v>
      </c>
      <c r="AD174" s="111">
        <v>5</v>
      </c>
      <c r="AE174" s="111">
        <v>5</v>
      </c>
      <c r="AF174" s="111">
        <v>5</v>
      </c>
      <c r="AG174" s="111">
        <v>5</v>
      </c>
      <c r="AH174" s="111">
        <v>5</v>
      </c>
      <c r="AI174" s="111">
        <v>5</v>
      </c>
      <c r="AJ174" s="111">
        <v>5</v>
      </c>
      <c r="AK174" s="111">
        <v>5</v>
      </c>
      <c r="AL174" s="111">
        <v>5</v>
      </c>
      <c r="AM174" s="111">
        <v>5</v>
      </c>
      <c r="AN174" s="111">
        <v>5</v>
      </c>
      <c r="AO174" s="111">
        <v>5</v>
      </c>
      <c r="AP174" s="111">
        <v>5</v>
      </c>
      <c r="AQ174" s="111">
        <v>6</v>
      </c>
      <c r="AR174" s="111">
        <v>5</v>
      </c>
      <c r="AS174" s="111">
        <v>5</v>
      </c>
      <c r="AT174" s="111">
        <v>5</v>
      </c>
      <c r="AU174" s="111">
        <v>5</v>
      </c>
      <c r="AV174" s="50" t="s">
        <v>202</v>
      </c>
      <c r="AW174" s="50" t="s">
        <v>202</v>
      </c>
      <c r="AX174" s="50" t="s">
        <v>201</v>
      </c>
      <c r="AY174" s="50" t="s">
        <v>199</v>
      </c>
      <c r="AZ174" s="50" t="s">
        <v>202</v>
      </c>
      <c r="BA174" s="50" t="s">
        <v>199</v>
      </c>
      <c r="BB174" s="50" t="s">
        <v>202</v>
      </c>
      <c r="BC174" s="50" t="s">
        <v>202</v>
      </c>
      <c r="BD174" s="50" t="s">
        <v>202</v>
      </c>
      <c r="BE174" s="50" t="s">
        <v>201</v>
      </c>
      <c r="BF174" s="50" t="s">
        <v>201</v>
      </c>
      <c r="BG174" s="50" t="s">
        <v>202</v>
      </c>
      <c r="BH174" s="50" t="s">
        <v>200</v>
      </c>
      <c r="BI174" s="50" t="s">
        <v>202</v>
      </c>
      <c r="BJ174" s="50" t="s">
        <v>202</v>
      </c>
      <c r="BK174" s="50" t="s">
        <v>202</v>
      </c>
      <c r="BL174" s="50" t="s">
        <v>202</v>
      </c>
      <c r="BM174" s="50" t="s">
        <v>436</v>
      </c>
      <c r="BN174" s="50" t="s">
        <v>479</v>
      </c>
      <c r="BO174" s="50" t="s">
        <v>91</v>
      </c>
      <c r="BP174" s="50" t="s">
        <v>286</v>
      </c>
      <c r="BQ174" s="50" t="s">
        <v>287</v>
      </c>
      <c r="BR174" s="50" t="s">
        <v>372</v>
      </c>
      <c r="BS174" s="111">
        <v>5</v>
      </c>
      <c r="BT174" s="50" t="s">
        <v>286</v>
      </c>
      <c r="BU174" s="50" t="s">
        <v>348</v>
      </c>
      <c r="BV174" s="50" t="s">
        <v>288</v>
      </c>
      <c r="BW174" s="50" t="s">
        <v>350</v>
      </c>
      <c r="BX174" s="50" t="s">
        <v>387</v>
      </c>
      <c r="BY174" s="50" t="s">
        <v>288</v>
      </c>
      <c r="BZ174" s="50" t="s">
        <v>287</v>
      </c>
      <c r="CA174" s="50"/>
      <c r="CB174" s="50" t="s">
        <v>287</v>
      </c>
      <c r="CC174" s="50" t="s">
        <v>287</v>
      </c>
      <c r="CD174" s="50" t="s">
        <v>287</v>
      </c>
      <c r="CE174" s="50"/>
      <c r="CF174" s="50" t="s">
        <v>287</v>
      </c>
      <c r="CG174" s="50" t="s">
        <v>287</v>
      </c>
      <c r="CH174" s="50" t="s">
        <v>486</v>
      </c>
      <c r="CI174" s="50" t="s">
        <v>287</v>
      </c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1:97" ht="36.75" customHeight="1" thickBot="1">
      <c r="A175" s="49">
        <v>46086.618611111109</v>
      </c>
      <c r="B175" s="50" t="s">
        <v>36</v>
      </c>
      <c r="C175" s="50" t="s">
        <v>45</v>
      </c>
      <c r="D175" s="50" t="s">
        <v>374</v>
      </c>
      <c r="E175" s="50" t="s">
        <v>61</v>
      </c>
      <c r="F175" s="50" t="s">
        <v>286</v>
      </c>
      <c r="G175" s="50" t="s">
        <v>73</v>
      </c>
      <c r="H175" s="50" t="s">
        <v>349</v>
      </c>
      <c r="I175" s="50" t="s">
        <v>301</v>
      </c>
      <c r="J175" s="50" t="s">
        <v>286</v>
      </c>
      <c r="K175" s="50" t="s">
        <v>287</v>
      </c>
      <c r="L175" s="50" t="s">
        <v>379</v>
      </c>
      <c r="M175" s="50" t="s">
        <v>370</v>
      </c>
      <c r="N175" s="111">
        <v>3</v>
      </c>
      <c r="O175" s="111">
        <v>3</v>
      </c>
      <c r="P175" s="111">
        <v>5</v>
      </c>
      <c r="Q175" s="111">
        <v>6</v>
      </c>
      <c r="R175" s="111">
        <v>6</v>
      </c>
      <c r="S175" s="111">
        <v>6</v>
      </c>
      <c r="T175" s="111">
        <v>3</v>
      </c>
      <c r="U175" s="111">
        <v>4</v>
      </c>
      <c r="V175" s="111">
        <v>6</v>
      </c>
      <c r="W175" s="111">
        <v>6</v>
      </c>
      <c r="X175" s="111">
        <v>6</v>
      </c>
      <c r="Y175" s="111">
        <v>6</v>
      </c>
      <c r="Z175" s="111">
        <v>6</v>
      </c>
      <c r="AA175" s="111">
        <v>6</v>
      </c>
      <c r="AB175" s="111">
        <v>6</v>
      </c>
      <c r="AC175" s="111">
        <v>5</v>
      </c>
      <c r="AD175" s="111">
        <v>5</v>
      </c>
      <c r="AE175" s="111">
        <v>5</v>
      </c>
      <c r="AF175" s="111">
        <v>5</v>
      </c>
      <c r="AG175" s="111">
        <v>5</v>
      </c>
      <c r="AH175" s="111">
        <v>5</v>
      </c>
      <c r="AI175" s="111">
        <v>5</v>
      </c>
      <c r="AJ175" s="111">
        <v>5</v>
      </c>
      <c r="AK175" s="111">
        <v>5</v>
      </c>
      <c r="AL175" s="111">
        <v>5</v>
      </c>
      <c r="AM175" s="111">
        <v>5</v>
      </c>
      <c r="AN175" s="111">
        <v>5</v>
      </c>
      <c r="AO175" s="111">
        <v>5</v>
      </c>
      <c r="AP175" s="111">
        <v>5</v>
      </c>
      <c r="AQ175" s="111">
        <v>6</v>
      </c>
      <c r="AR175" s="111">
        <v>5</v>
      </c>
      <c r="AS175" s="111">
        <v>5</v>
      </c>
      <c r="AT175" s="111">
        <v>5</v>
      </c>
      <c r="AU175" s="111">
        <v>5</v>
      </c>
      <c r="AV175" s="50" t="s">
        <v>202</v>
      </c>
      <c r="AW175" s="50" t="s">
        <v>202</v>
      </c>
      <c r="AX175" s="50" t="s">
        <v>201</v>
      </c>
      <c r="AY175" s="50" t="s">
        <v>199</v>
      </c>
      <c r="AZ175" s="50" t="s">
        <v>202</v>
      </c>
      <c r="BA175" s="50" t="s">
        <v>202</v>
      </c>
      <c r="BB175" s="50" t="s">
        <v>202</v>
      </c>
      <c r="BC175" s="50" t="s">
        <v>202</v>
      </c>
      <c r="BD175" s="50" t="s">
        <v>202</v>
      </c>
      <c r="BE175" s="50" t="s">
        <v>200</v>
      </c>
      <c r="BF175" s="50" t="s">
        <v>201</v>
      </c>
      <c r="BG175" s="50" t="s">
        <v>202</v>
      </c>
      <c r="BH175" s="50" t="s">
        <v>201</v>
      </c>
      <c r="BI175" s="50" t="s">
        <v>202</v>
      </c>
      <c r="BJ175" s="50" t="s">
        <v>202</v>
      </c>
      <c r="BK175" s="50" t="s">
        <v>202</v>
      </c>
      <c r="BL175" s="50" t="s">
        <v>202</v>
      </c>
      <c r="BM175" s="50" t="s">
        <v>436</v>
      </c>
      <c r="BN175" s="50" t="s">
        <v>443</v>
      </c>
      <c r="BO175" s="50" t="s">
        <v>91</v>
      </c>
      <c r="BP175" s="50" t="s">
        <v>286</v>
      </c>
      <c r="BQ175" s="50" t="s">
        <v>287</v>
      </c>
      <c r="BR175" s="50" t="s">
        <v>372</v>
      </c>
      <c r="BS175" s="111">
        <v>5</v>
      </c>
      <c r="BT175" s="50" t="s">
        <v>286</v>
      </c>
      <c r="BU175" s="50" t="s">
        <v>348</v>
      </c>
      <c r="BV175" s="50" t="s">
        <v>288</v>
      </c>
      <c r="BW175" s="50" t="s">
        <v>350</v>
      </c>
      <c r="BX175" s="50" t="s">
        <v>387</v>
      </c>
      <c r="BY175" s="50" t="s">
        <v>288</v>
      </c>
      <c r="BZ175" s="50" t="s">
        <v>287</v>
      </c>
      <c r="CA175" s="50"/>
      <c r="CB175" s="50" t="s">
        <v>287</v>
      </c>
      <c r="CC175" s="50" t="s">
        <v>287</v>
      </c>
      <c r="CD175" s="50" t="s">
        <v>287</v>
      </c>
      <c r="CE175" s="50"/>
      <c r="CF175" s="50" t="s">
        <v>287</v>
      </c>
      <c r="CG175" s="50" t="s">
        <v>287</v>
      </c>
      <c r="CH175" s="50" t="s">
        <v>486</v>
      </c>
      <c r="CI175" s="50" t="s">
        <v>287</v>
      </c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1:97" ht="36.75" customHeight="1" thickBot="1">
      <c r="A176" s="49">
        <v>46086.621331018519</v>
      </c>
      <c r="B176" s="50" t="s">
        <v>40</v>
      </c>
      <c r="C176" s="50" t="s">
        <v>45</v>
      </c>
      <c r="D176" s="50" t="s">
        <v>374</v>
      </c>
      <c r="E176" s="50" t="s">
        <v>61</v>
      </c>
      <c r="F176" s="50" t="s">
        <v>286</v>
      </c>
      <c r="G176" s="50" t="s">
        <v>73</v>
      </c>
      <c r="H176" s="50" t="s">
        <v>342</v>
      </c>
      <c r="I176" s="50" t="s">
        <v>81</v>
      </c>
      <c r="J176" s="50" t="s">
        <v>286</v>
      </c>
      <c r="K176" s="50" t="s">
        <v>287</v>
      </c>
      <c r="L176" s="50" t="s">
        <v>379</v>
      </c>
      <c r="M176" s="50" t="s">
        <v>370</v>
      </c>
      <c r="N176" s="111">
        <v>5</v>
      </c>
      <c r="O176" s="111">
        <v>5</v>
      </c>
      <c r="P176" s="111">
        <v>5</v>
      </c>
      <c r="Q176" s="111">
        <v>6</v>
      </c>
      <c r="R176" s="111">
        <v>6</v>
      </c>
      <c r="S176" s="111">
        <v>6</v>
      </c>
      <c r="T176" s="111">
        <v>5</v>
      </c>
      <c r="U176" s="111">
        <v>5</v>
      </c>
      <c r="V176" s="111">
        <v>6</v>
      </c>
      <c r="W176" s="111">
        <v>6</v>
      </c>
      <c r="X176" s="111">
        <v>6</v>
      </c>
      <c r="Y176" s="111">
        <v>6</v>
      </c>
      <c r="Z176" s="111">
        <v>6</v>
      </c>
      <c r="AA176" s="111">
        <v>6</v>
      </c>
      <c r="AB176" s="111">
        <v>6</v>
      </c>
      <c r="AC176" s="111">
        <v>5</v>
      </c>
      <c r="AD176" s="111">
        <v>5</v>
      </c>
      <c r="AE176" s="111">
        <v>5</v>
      </c>
      <c r="AF176" s="111">
        <v>5</v>
      </c>
      <c r="AG176" s="111">
        <v>5</v>
      </c>
      <c r="AH176" s="111">
        <v>5</v>
      </c>
      <c r="AI176" s="111">
        <v>5</v>
      </c>
      <c r="AJ176" s="111">
        <v>5</v>
      </c>
      <c r="AK176" s="111">
        <v>3</v>
      </c>
      <c r="AL176" s="111">
        <v>5</v>
      </c>
      <c r="AM176" s="111">
        <v>5</v>
      </c>
      <c r="AN176" s="111">
        <v>5</v>
      </c>
      <c r="AO176" s="111">
        <v>5</v>
      </c>
      <c r="AP176" s="111">
        <v>5</v>
      </c>
      <c r="AQ176" s="111">
        <v>6</v>
      </c>
      <c r="AR176" s="111">
        <v>5</v>
      </c>
      <c r="AS176" s="111">
        <v>5</v>
      </c>
      <c r="AT176" s="111">
        <v>5</v>
      </c>
      <c r="AU176" s="111">
        <v>5</v>
      </c>
      <c r="AV176" s="50" t="s">
        <v>202</v>
      </c>
      <c r="AW176" s="50" t="s">
        <v>202</v>
      </c>
      <c r="AX176" s="50" t="s">
        <v>201</v>
      </c>
      <c r="AY176" s="50" t="s">
        <v>199</v>
      </c>
      <c r="AZ176" s="50" t="s">
        <v>202</v>
      </c>
      <c r="BA176" s="50" t="s">
        <v>199</v>
      </c>
      <c r="BB176" s="50" t="s">
        <v>202</v>
      </c>
      <c r="BC176" s="50" t="s">
        <v>202</v>
      </c>
      <c r="BD176" s="50" t="s">
        <v>202</v>
      </c>
      <c r="BE176" s="50" t="s">
        <v>201</v>
      </c>
      <c r="BF176" s="50" t="s">
        <v>201</v>
      </c>
      <c r="BG176" s="50" t="s">
        <v>202</v>
      </c>
      <c r="BH176" s="50" t="s">
        <v>201</v>
      </c>
      <c r="BI176" s="50" t="s">
        <v>202</v>
      </c>
      <c r="BJ176" s="50" t="s">
        <v>202</v>
      </c>
      <c r="BK176" s="50" t="s">
        <v>202</v>
      </c>
      <c r="BL176" s="50" t="s">
        <v>202</v>
      </c>
      <c r="BM176" s="50" t="s">
        <v>436</v>
      </c>
      <c r="BN176" s="50" t="s">
        <v>318</v>
      </c>
      <c r="BO176" s="50" t="s">
        <v>91</v>
      </c>
      <c r="BP176" s="50" t="s">
        <v>286</v>
      </c>
      <c r="BQ176" s="50" t="s">
        <v>287</v>
      </c>
      <c r="BR176" s="50" t="s">
        <v>372</v>
      </c>
      <c r="BS176" s="111">
        <v>5</v>
      </c>
      <c r="BT176" s="50" t="s">
        <v>286</v>
      </c>
      <c r="BU176" s="50" t="s">
        <v>348</v>
      </c>
      <c r="BV176" s="50" t="s">
        <v>288</v>
      </c>
      <c r="BW176" s="50" t="s">
        <v>350</v>
      </c>
      <c r="BX176" s="50" t="s">
        <v>387</v>
      </c>
      <c r="BY176" s="50" t="s">
        <v>288</v>
      </c>
      <c r="BZ176" s="50" t="s">
        <v>287</v>
      </c>
      <c r="CA176" s="50"/>
      <c r="CB176" s="50" t="s">
        <v>287</v>
      </c>
      <c r="CC176" s="50" t="s">
        <v>287</v>
      </c>
      <c r="CD176" s="50" t="s">
        <v>287</v>
      </c>
      <c r="CE176" s="50"/>
      <c r="CF176" s="50" t="s">
        <v>287</v>
      </c>
      <c r="CG176" s="50" t="s">
        <v>287</v>
      </c>
      <c r="CH176" s="50" t="s">
        <v>486</v>
      </c>
      <c r="CI176" s="50" t="s">
        <v>287</v>
      </c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1:97" ht="36.75" customHeight="1" thickBot="1">
      <c r="A177" s="49">
        <v>46086.635300925926</v>
      </c>
      <c r="B177" s="50" t="s">
        <v>40</v>
      </c>
      <c r="C177" s="50" t="s">
        <v>46</v>
      </c>
      <c r="D177" s="50" t="s">
        <v>369</v>
      </c>
      <c r="E177" s="50" t="s">
        <v>285</v>
      </c>
      <c r="F177" s="50" t="s">
        <v>286</v>
      </c>
      <c r="G177" s="50" t="s">
        <v>73</v>
      </c>
      <c r="H177" s="50" t="s">
        <v>322</v>
      </c>
      <c r="I177" s="50" t="s">
        <v>81</v>
      </c>
      <c r="J177" s="50" t="s">
        <v>286</v>
      </c>
      <c r="K177" s="50" t="s">
        <v>287</v>
      </c>
      <c r="L177" s="50" t="s">
        <v>336</v>
      </c>
      <c r="M177" s="50" t="s">
        <v>7</v>
      </c>
      <c r="N177" s="111">
        <v>5</v>
      </c>
      <c r="O177" s="111">
        <v>5</v>
      </c>
      <c r="P177" s="111">
        <v>5</v>
      </c>
      <c r="Q177" s="111">
        <v>5</v>
      </c>
      <c r="R177" s="111">
        <v>5</v>
      </c>
      <c r="S177" s="111">
        <v>5</v>
      </c>
      <c r="T177" s="111">
        <v>5</v>
      </c>
      <c r="U177" s="111">
        <v>5</v>
      </c>
      <c r="V177" s="111">
        <v>5</v>
      </c>
      <c r="W177" s="111">
        <v>5</v>
      </c>
      <c r="X177" s="111">
        <v>5</v>
      </c>
      <c r="Y177" s="111">
        <v>5</v>
      </c>
      <c r="Z177" s="111">
        <v>5</v>
      </c>
      <c r="AA177" s="111">
        <v>5</v>
      </c>
      <c r="AB177" s="111">
        <v>5</v>
      </c>
      <c r="AC177" s="111">
        <v>5</v>
      </c>
      <c r="AD177" s="111">
        <v>5</v>
      </c>
      <c r="AE177" s="111">
        <v>5</v>
      </c>
      <c r="AF177" s="111">
        <v>5</v>
      </c>
      <c r="AG177" s="111">
        <v>5</v>
      </c>
      <c r="AH177" s="111">
        <v>5</v>
      </c>
      <c r="AI177" s="111">
        <v>5</v>
      </c>
      <c r="AJ177" s="111">
        <v>5</v>
      </c>
      <c r="AK177" s="111">
        <v>5</v>
      </c>
      <c r="AL177" s="111">
        <v>5</v>
      </c>
      <c r="AM177" s="111">
        <v>5</v>
      </c>
      <c r="AN177" s="111">
        <v>5</v>
      </c>
      <c r="AO177" s="111">
        <v>5</v>
      </c>
      <c r="AP177" s="111">
        <v>5</v>
      </c>
      <c r="AQ177" s="111">
        <v>5</v>
      </c>
      <c r="AR177" s="111">
        <v>5</v>
      </c>
      <c r="AS177" s="111">
        <v>5</v>
      </c>
      <c r="AT177" s="111">
        <v>5</v>
      </c>
      <c r="AU177" s="111">
        <v>5</v>
      </c>
      <c r="AV177" s="50" t="s">
        <v>199</v>
      </c>
      <c r="AW177" s="50" t="s">
        <v>199</v>
      </c>
      <c r="AX177" s="50" t="s">
        <v>199</v>
      </c>
      <c r="AY177" s="50" t="s">
        <v>200</v>
      </c>
      <c r="AZ177" s="50" t="s">
        <v>200</v>
      </c>
      <c r="BA177" s="50" t="s">
        <v>200</v>
      </c>
      <c r="BB177" s="50" t="s">
        <v>200</v>
      </c>
      <c r="BC177" s="50" t="s">
        <v>200</v>
      </c>
      <c r="BD177" s="50" t="s">
        <v>200</v>
      </c>
      <c r="BE177" s="50" t="s">
        <v>200</v>
      </c>
      <c r="BF177" s="50" t="s">
        <v>200</v>
      </c>
      <c r="BG177" s="50" t="s">
        <v>200</v>
      </c>
      <c r="BH177" s="50" t="s">
        <v>200</v>
      </c>
      <c r="BI177" s="50" t="s">
        <v>200</v>
      </c>
      <c r="BJ177" s="50" t="s">
        <v>200</v>
      </c>
      <c r="BK177" s="50" t="s">
        <v>200</v>
      </c>
      <c r="BL177" s="50" t="s">
        <v>200</v>
      </c>
      <c r="BM177" s="50" t="s">
        <v>436</v>
      </c>
      <c r="BN177" s="50" t="s">
        <v>318</v>
      </c>
      <c r="BO177" s="50" t="s">
        <v>91</v>
      </c>
      <c r="BP177" s="50" t="s">
        <v>286</v>
      </c>
      <c r="BQ177" s="50" t="s">
        <v>287</v>
      </c>
      <c r="BR177" s="50" t="s">
        <v>403</v>
      </c>
      <c r="BS177" s="111">
        <v>4</v>
      </c>
      <c r="BT177" s="50" t="s">
        <v>286</v>
      </c>
      <c r="BU177" s="50" t="s">
        <v>312</v>
      </c>
      <c r="BV177" s="50" t="s">
        <v>288</v>
      </c>
      <c r="BW177" s="50" t="s">
        <v>297</v>
      </c>
      <c r="BX177" s="50" t="s">
        <v>300</v>
      </c>
      <c r="BY177" s="50" t="s">
        <v>288</v>
      </c>
      <c r="BZ177" s="50" t="s">
        <v>287</v>
      </c>
      <c r="CA177" s="50"/>
      <c r="CB177" s="50" t="s">
        <v>287</v>
      </c>
      <c r="CC177" s="50" t="s">
        <v>287</v>
      </c>
      <c r="CD177" s="50" t="s">
        <v>287</v>
      </c>
      <c r="CE177" s="50"/>
      <c r="CF177" s="50" t="s">
        <v>287</v>
      </c>
      <c r="CG177" s="50" t="s">
        <v>287</v>
      </c>
      <c r="CH177" s="50" t="s">
        <v>486</v>
      </c>
      <c r="CI177" s="50" t="s">
        <v>287</v>
      </c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1:97" ht="36.75" customHeight="1" thickBot="1">
      <c r="A178" s="49">
        <v>46086.636157407411</v>
      </c>
      <c r="B178" s="50" t="s">
        <v>38</v>
      </c>
      <c r="C178" s="50" t="s">
        <v>45</v>
      </c>
      <c r="D178" s="50" t="s">
        <v>374</v>
      </c>
      <c r="E178" s="50" t="s">
        <v>61</v>
      </c>
      <c r="F178" s="50" t="s">
        <v>286</v>
      </c>
      <c r="G178" s="50" t="s">
        <v>73</v>
      </c>
      <c r="H178" s="50" t="s">
        <v>324</v>
      </c>
      <c r="I178" s="50" t="s">
        <v>91</v>
      </c>
      <c r="J178" s="50" t="s">
        <v>286</v>
      </c>
      <c r="K178" s="50" t="s">
        <v>291</v>
      </c>
      <c r="L178" s="50" t="s">
        <v>286</v>
      </c>
      <c r="M178" s="50" t="s">
        <v>370</v>
      </c>
      <c r="N178" s="111">
        <v>5</v>
      </c>
      <c r="O178" s="111">
        <v>5</v>
      </c>
      <c r="P178" s="111">
        <v>5</v>
      </c>
      <c r="Q178" s="111">
        <v>5</v>
      </c>
      <c r="R178" s="111">
        <v>6</v>
      </c>
      <c r="S178" s="111">
        <v>6</v>
      </c>
      <c r="T178" s="111">
        <v>4</v>
      </c>
      <c r="U178" s="111">
        <v>5</v>
      </c>
      <c r="V178" s="111">
        <v>6</v>
      </c>
      <c r="W178" s="111">
        <v>6</v>
      </c>
      <c r="X178" s="111">
        <v>6</v>
      </c>
      <c r="Y178" s="111">
        <v>6</v>
      </c>
      <c r="Z178" s="111">
        <v>6</v>
      </c>
      <c r="AA178" s="111">
        <v>6</v>
      </c>
      <c r="AB178" s="111">
        <v>6</v>
      </c>
      <c r="AC178" s="111">
        <v>5</v>
      </c>
      <c r="AD178" s="111">
        <v>5</v>
      </c>
      <c r="AE178" s="111">
        <v>5</v>
      </c>
      <c r="AF178" s="111">
        <v>5</v>
      </c>
      <c r="AG178" s="111">
        <v>5</v>
      </c>
      <c r="AH178" s="111">
        <v>5</v>
      </c>
      <c r="AI178" s="111">
        <v>5</v>
      </c>
      <c r="AJ178" s="111">
        <v>5</v>
      </c>
      <c r="AK178" s="111">
        <v>5</v>
      </c>
      <c r="AL178" s="111">
        <v>5</v>
      </c>
      <c r="AM178" s="111">
        <v>5</v>
      </c>
      <c r="AN178" s="111">
        <v>5</v>
      </c>
      <c r="AO178" s="111">
        <v>5</v>
      </c>
      <c r="AP178" s="111">
        <v>5</v>
      </c>
      <c r="AQ178" s="111">
        <v>6</v>
      </c>
      <c r="AR178" s="111">
        <v>5</v>
      </c>
      <c r="AS178" s="111">
        <v>5</v>
      </c>
      <c r="AT178" s="111">
        <v>5</v>
      </c>
      <c r="AU178" s="111">
        <v>5</v>
      </c>
      <c r="AV178" s="50" t="s">
        <v>202</v>
      </c>
      <c r="AW178" s="50" t="s">
        <v>201</v>
      </c>
      <c r="AX178" s="50" t="s">
        <v>199</v>
      </c>
      <c r="AY178" s="50" t="s">
        <v>199</v>
      </c>
      <c r="AZ178" s="50" t="s">
        <v>202</v>
      </c>
      <c r="BA178" s="50" t="s">
        <v>202</v>
      </c>
      <c r="BB178" s="50" t="s">
        <v>202</v>
      </c>
      <c r="BC178" s="50" t="s">
        <v>202</v>
      </c>
      <c r="BD178" s="50" t="s">
        <v>202</v>
      </c>
      <c r="BE178" s="50" t="s">
        <v>201</v>
      </c>
      <c r="BF178" s="50" t="s">
        <v>201</v>
      </c>
      <c r="BG178" s="50" t="s">
        <v>202</v>
      </c>
      <c r="BH178" s="50" t="s">
        <v>201</v>
      </c>
      <c r="BI178" s="50" t="s">
        <v>202</v>
      </c>
      <c r="BJ178" s="50" t="s">
        <v>202</v>
      </c>
      <c r="BK178" s="50" t="s">
        <v>202</v>
      </c>
      <c r="BL178" s="50" t="s">
        <v>202</v>
      </c>
      <c r="BM178" s="50" t="s">
        <v>436</v>
      </c>
      <c r="BN178" s="50" t="s">
        <v>444</v>
      </c>
      <c r="BO178" s="50" t="s">
        <v>91</v>
      </c>
      <c r="BP178" s="50" t="s">
        <v>286</v>
      </c>
      <c r="BQ178" s="50" t="s">
        <v>287</v>
      </c>
      <c r="BR178" s="50" t="s">
        <v>372</v>
      </c>
      <c r="BS178" s="111">
        <v>5</v>
      </c>
      <c r="BT178" s="50" t="s">
        <v>286</v>
      </c>
      <c r="BU178" s="50" t="s">
        <v>348</v>
      </c>
      <c r="BV178" s="50" t="s">
        <v>288</v>
      </c>
      <c r="BW178" s="50" t="s">
        <v>350</v>
      </c>
      <c r="BX178" s="50" t="s">
        <v>387</v>
      </c>
      <c r="BY178" s="50" t="s">
        <v>288</v>
      </c>
      <c r="BZ178" s="50" t="s">
        <v>287</v>
      </c>
      <c r="CA178" s="50"/>
      <c r="CB178" s="50" t="s">
        <v>287</v>
      </c>
      <c r="CC178" s="50" t="s">
        <v>287</v>
      </c>
      <c r="CD178" s="50" t="s">
        <v>287</v>
      </c>
      <c r="CE178" s="50"/>
      <c r="CF178" s="50" t="s">
        <v>287</v>
      </c>
      <c r="CG178" s="50" t="s">
        <v>287</v>
      </c>
      <c r="CH178" s="50" t="s">
        <v>486</v>
      </c>
      <c r="CI178" s="50" t="s">
        <v>287</v>
      </c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1:97" ht="36.75" customHeight="1" thickBot="1">
      <c r="A179" s="49">
        <v>46086.638888888891</v>
      </c>
      <c r="B179" s="50" t="s">
        <v>35</v>
      </c>
      <c r="C179" s="50" t="s">
        <v>45</v>
      </c>
      <c r="D179" s="50" t="s">
        <v>374</v>
      </c>
      <c r="E179" s="50" t="s">
        <v>62</v>
      </c>
      <c r="F179" s="50" t="s">
        <v>286</v>
      </c>
      <c r="G179" s="50" t="s">
        <v>73</v>
      </c>
      <c r="H179" s="50" t="s">
        <v>381</v>
      </c>
      <c r="I179" s="50" t="s">
        <v>91</v>
      </c>
      <c r="J179" s="50" t="s">
        <v>286</v>
      </c>
      <c r="K179" s="50" t="s">
        <v>291</v>
      </c>
      <c r="L179" s="50" t="s">
        <v>286</v>
      </c>
      <c r="M179" s="50" t="s">
        <v>370</v>
      </c>
      <c r="N179" s="111">
        <v>5</v>
      </c>
      <c r="O179" s="111">
        <v>6</v>
      </c>
      <c r="P179" s="111">
        <v>5</v>
      </c>
      <c r="Q179" s="111">
        <v>6</v>
      </c>
      <c r="R179" s="111">
        <v>6</v>
      </c>
      <c r="S179" s="111">
        <v>6</v>
      </c>
      <c r="T179" s="111">
        <v>5</v>
      </c>
      <c r="U179" s="111">
        <v>5</v>
      </c>
      <c r="V179" s="111">
        <v>6</v>
      </c>
      <c r="W179" s="111">
        <v>5</v>
      </c>
      <c r="X179" s="111">
        <v>3</v>
      </c>
      <c r="Y179" s="111">
        <v>6</v>
      </c>
      <c r="Z179" s="111">
        <v>6</v>
      </c>
      <c r="AA179" s="111">
        <v>6</v>
      </c>
      <c r="AB179" s="111">
        <v>6</v>
      </c>
      <c r="AC179" s="111">
        <v>4</v>
      </c>
      <c r="AD179" s="111">
        <v>4</v>
      </c>
      <c r="AE179" s="111">
        <v>4</v>
      </c>
      <c r="AF179" s="111">
        <v>4</v>
      </c>
      <c r="AG179" s="111">
        <v>4</v>
      </c>
      <c r="AH179" s="111">
        <v>4</v>
      </c>
      <c r="AI179" s="111">
        <v>4</v>
      </c>
      <c r="AJ179" s="111">
        <v>4</v>
      </c>
      <c r="AK179" s="111">
        <v>4</v>
      </c>
      <c r="AL179" s="111">
        <v>4</v>
      </c>
      <c r="AM179" s="111">
        <v>4</v>
      </c>
      <c r="AN179" s="111">
        <v>4</v>
      </c>
      <c r="AO179" s="111">
        <v>4</v>
      </c>
      <c r="AP179" s="111">
        <v>4</v>
      </c>
      <c r="AQ179" s="111">
        <v>6</v>
      </c>
      <c r="AR179" s="111">
        <v>6</v>
      </c>
      <c r="AS179" s="111">
        <v>6</v>
      </c>
      <c r="AT179" s="111">
        <v>6</v>
      </c>
      <c r="AU179" s="111">
        <v>6</v>
      </c>
      <c r="AV179" s="50" t="s">
        <v>201</v>
      </c>
      <c r="AW179" s="50" t="s">
        <v>202</v>
      </c>
      <c r="AX179" s="50" t="s">
        <v>199</v>
      </c>
      <c r="AY179" s="50" t="s">
        <v>199</v>
      </c>
      <c r="AZ179" s="50" t="s">
        <v>202</v>
      </c>
      <c r="BA179" s="50" t="s">
        <v>202</v>
      </c>
      <c r="BB179" s="50" t="s">
        <v>202</v>
      </c>
      <c r="BC179" s="50" t="s">
        <v>202</v>
      </c>
      <c r="BD179" s="50" t="s">
        <v>202</v>
      </c>
      <c r="BE179" s="50" t="s">
        <v>202</v>
      </c>
      <c r="BF179" s="50" t="s">
        <v>199</v>
      </c>
      <c r="BG179" s="50" t="s">
        <v>202</v>
      </c>
      <c r="BH179" s="50" t="s">
        <v>202</v>
      </c>
      <c r="BI179" s="50" t="s">
        <v>202</v>
      </c>
      <c r="BJ179" s="50" t="s">
        <v>202</v>
      </c>
      <c r="BK179" s="50" t="s">
        <v>202</v>
      </c>
      <c r="BL179" s="50" t="s">
        <v>202</v>
      </c>
      <c r="BM179" s="50" t="s">
        <v>436</v>
      </c>
      <c r="BN179" s="50" t="s">
        <v>358</v>
      </c>
      <c r="BO179" s="50" t="s">
        <v>91</v>
      </c>
      <c r="BP179" s="50"/>
      <c r="BQ179" s="50" t="s">
        <v>287</v>
      </c>
      <c r="BR179" s="50" t="s">
        <v>439</v>
      </c>
      <c r="BS179" s="111">
        <v>4</v>
      </c>
      <c r="BT179" s="50" t="s">
        <v>358</v>
      </c>
      <c r="BU179" s="50" t="s">
        <v>348</v>
      </c>
      <c r="BV179" s="50" t="s">
        <v>288</v>
      </c>
      <c r="BW179" s="50" t="s">
        <v>350</v>
      </c>
      <c r="BX179" s="50" t="s">
        <v>538</v>
      </c>
      <c r="BY179" s="50" t="s">
        <v>288</v>
      </c>
      <c r="BZ179" s="50" t="s">
        <v>287</v>
      </c>
      <c r="CA179" s="50"/>
      <c r="CB179" s="50" t="s">
        <v>287</v>
      </c>
      <c r="CC179" s="50" t="s">
        <v>287</v>
      </c>
      <c r="CD179" s="50" t="s">
        <v>287</v>
      </c>
      <c r="CE179" s="50"/>
      <c r="CF179" s="50" t="s">
        <v>287</v>
      </c>
      <c r="CG179" s="50" t="s">
        <v>91</v>
      </c>
      <c r="CH179" s="50" t="s">
        <v>486</v>
      </c>
      <c r="CI179" s="50" t="s">
        <v>91</v>
      </c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1:97" ht="36.75" customHeight="1" thickBot="1">
      <c r="A180" s="49">
        <v>46086.639340277776</v>
      </c>
      <c r="B180" s="50" t="s">
        <v>38</v>
      </c>
      <c r="C180" s="50" t="s">
        <v>45</v>
      </c>
      <c r="D180" s="50" t="s">
        <v>369</v>
      </c>
      <c r="E180" s="50" t="s">
        <v>285</v>
      </c>
      <c r="F180" s="50" t="s">
        <v>286</v>
      </c>
      <c r="G180" s="50" t="s">
        <v>73</v>
      </c>
      <c r="H180" s="50" t="s">
        <v>286</v>
      </c>
      <c r="I180" s="50" t="s">
        <v>92</v>
      </c>
      <c r="J180" s="50" t="s">
        <v>286</v>
      </c>
      <c r="K180" s="50" t="s">
        <v>287</v>
      </c>
      <c r="L180" s="50" t="s">
        <v>336</v>
      </c>
      <c r="M180" s="50" t="s">
        <v>7</v>
      </c>
      <c r="N180" s="111">
        <v>5</v>
      </c>
      <c r="O180" s="111">
        <v>5</v>
      </c>
      <c r="P180" s="111">
        <v>5</v>
      </c>
      <c r="Q180" s="111">
        <v>5</v>
      </c>
      <c r="R180" s="111">
        <v>5</v>
      </c>
      <c r="S180" s="111">
        <v>5</v>
      </c>
      <c r="T180" s="111">
        <v>5</v>
      </c>
      <c r="U180" s="111">
        <v>5</v>
      </c>
      <c r="V180" s="111">
        <v>5</v>
      </c>
      <c r="W180" s="111">
        <v>5</v>
      </c>
      <c r="X180" s="111">
        <v>5</v>
      </c>
      <c r="Y180" s="111">
        <v>5</v>
      </c>
      <c r="Z180" s="111">
        <v>5</v>
      </c>
      <c r="AA180" s="111">
        <v>5</v>
      </c>
      <c r="AB180" s="111">
        <v>5</v>
      </c>
      <c r="AC180" s="111">
        <v>5</v>
      </c>
      <c r="AD180" s="111">
        <v>5</v>
      </c>
      <c r="AE180" s="111">
        <v>5</v>
      </c>
      <c r="AF180" s="111">
        <v>5</v>
      </c>
      <c r="AG180" s="111">
        <v>5</v>
      </c>
      <c r="AH180" s="111">
        <v>5</v>
      </c>
      <c r="AI180" s="111">
        <v>5</v>
      </c>
      <c r="AJ180" s="111">
        <v>5</v>
      </c>
      <c r="AK180" s="111">
        <v>5</v>
      </c>
      <c r="AL180" s="111">
        <v>5</v>
      </c>
      <c r="AM180" s="111">
        <v>5</v>
      </c>
      <c r="AN180" s="111">
        <v>5</v>
      </c>
      <c r="AO180" s="111">
        <v>5</v>
      </c>
      <c r="AP180" s="111">
        <v>5</v>
      </c>
      <c r="AQ180" s="111">
        <v>5</v>
      </c>
      <c r="AR180" s="111">
        <v>5</v>
      </c>
      <c r="AS180" s="111">
        <v>5</v>
      </c>
      <c r="AT180" s="111">
        <v>5</v>
      </c>
      <c r="AU180" s="111">
        <v>5</v>
      </c>
      <c r="AV180" s="50" t="s">
        <v>199</v>
      </c>
      <c r="AW180" s="50" t="s">
        <v>199</v>
      </c>
      <c r="AX180" s="50" t="s">
        <v>199</v>
      </c>
      <c r="AY180" s="50" t="s">
        <v>200</v>
      </c>
      <c r="AZ180" s="50" t="s">
        <v>200</v>
      </c>
      <c r="BA180" s="50" t="s">
        <v>200</v>
      </c>
      <c r="BB180" s="50" t="s">
        <v>200</v>
      </c>
      <c r="BC180" s="50" t="s">
        <v>200</v>
      </c>
      <c r="BD180" s="50" t="s">
        <v>200</v>
      </c>
      <c r="BE180" s="50" t="s">
        <v>200</v>
      </c>
      <c r="BF180" s="50" t="s">
        <v>200</v>
      </c>
      <c r="BG180" s="50" t="s">
        <v>200</v>
      </c>
      <c r="BH180" s="50" t="s">
        <v>200</v>
      </c>
      <c r="BI180" s="50" t="s">
        <v>200</v>
      </c>
      <c r="BJ180" s="50" t="s">
        <v>200</v>
      </c>
      <c r="BK180" s="50" t="s">
        <v>200</v>
      </c>
      <c r="BL180" s="50" t="s">
        <v>200</v>
      </c>
      <c r="BM180" s="50" t="s">
        <v>436</v>
      </c>
      <c r="BN180" s="50" t="s">
        <v>318</v>
      </c>
      <c r="BO180" s="50" t="s">
        <v>91</v>
      </c>
      <c r="BP180" s="50" t="s">
        <v>286</v>
      </c>
      <c r="BQ180" s="50" t="s">
        <v>287</v>
      </c>
      <c r="BR180" s="50" t="s">
        <v>413</v>
      </c>
      <c r="BS180" s="111">
        <v>5</v>
      </c>
      <c r="BT180" s="50" t="s">
        <v>286</v>
      </c>
      <c r="BU180" s="50" t="s">
        <v>312</v>
      </c>
      <c r="BV180" s="50" t="s">
        <v>288</v>
      </c>
      <c r="BW180" s="50" t="s">
        <v>293</v>
      </c>
      <c r="BX180" s="50" t="s">
        <v>296</v>
      </c>
      <c r="BY180" s="50" t="s">
        <v>288</v>
      </c>
      <c r="BZ180" s="50" t="s">
        <v>287</v>
      </c>
      <c r="CA180" s="50"/>
      <c r="CB180" s="50" t="s">
        <v>287</v>
      </c>
      <c r="CC180" s="50" t="s">
        <v>287</v>
      </c>
      <c r="CD180" s="50" t="s">
        <v>287</v>
      </c>
      <c r="CE180" s="50"/>
      <c r="CF180" s="50" t="s">
        <v>287</v>
      </c>
      <c r="CG180" s="50" t="s">
        <v>287</v>
      </c>
      <c r="CH180" s="50" t="s">
        <v>486</v>
      </c>
      <c r="CI180" s="50" t="s">
        <v>287</v>
      </c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1:97" ht="36.75" customHeight="1" thickBot="1">
      <c r="A181" s="49">
        <v>46086.642118055555</v>
      </c>
      <c r="B181" s="50" t="s">
        <v>40</v>
      </c>
      <c r="C181" s="50" t="s">
        <v>46</v>
      </c>
      <c r="D181" s="50" t="s">
        <v>369</v>
      </c>
      <c r="E181" s="50" t="s">
        <v>285</v>
      </c>
      <c r="F181" s="50" t="s">
        <v>286</v>
      </c>
      <c r="G181" s="50" t="s">
        <v>73</v>
      </c>
      <c r="H181" s="50" t="s">
        <v>286</v>
      </c>
      <c r="I181" s="50" t="s">
        <v>81</v>
      </c>
      <c r="J181" s="50" t="s">
        <v>286</v>
      </c>
      <c r="K181" s="50" t="s">
        <v>287</v>
      </c>
      <c r="L181" s="50" t="s">
        <v>336</v>
      </c>
      <c r="M181" s="50" t="s">
        <v>7</v>
      </c>
      <c r="N181" s="111">
        <v>5</v>
      </c>
      <c r="O181" s="111">
        <v>5</v>
      </c>
      <c r="P181" s="111">
        <v>5</v>
      </c>
      <c r="Q181" s="111">
        <v>5</v>
      </c>
      <c r="R181" s="111">
        <v>5</v>
      </c>
      <c r="S181" s="111">
        <v>5</v>
      </c>
      <c r="T181" s="111">
        <v>5</v>
      </c>
      <c r="U181" s="111">
        <v>5</v>
      </c>
      <c r="V181" s="111">
        <v>5</v>
      </c>
      <c r="W181" s="111">
        <v>5</v>
      </c>
      <c r="X181" s="111">
        <v>5</v>
      </c>
      <c r="Y181" s="111">
        <v>5</v>
      </c>
      <c r="Z181" s="111">
        <v>5</v>
      </c>
      <c r="AA181" s="111">
        <v>5</v>
      </c>
      <c r="AB181" s="111">
        <v>5</v>
      </c>
      <c r="AC181" s="111">
        <v>5</v>
      </c>
      <c r="AD181" s="111">
        <v>5</v>
      </c>
      <c r="AE181" s="111">
        <v>5</v>
      </c>
      <c r="AF181" s="111">
        <v>5</v>
      </c>
      <c r="AG181" s="111">
        <v>5</v>
      </c>
      <c r="AH181" s="111">
        <v>5</v>
      </c>
      <c r="AI181" s="111">
        <v>5</v>
      </c>
      <c r="AJ181" s="111">
        <v>5</v>
      </c>
      <c r="AK181" s="111">
        <v>5</v>
      </c>
      <c r="AL181" s="111">
        <v>5</v>
      </c>
      <c r="AM181" s="111">
        <v>5</v>
      </c>
      <c r="AN181" s="111">
        <v>5</v>
      </c>
      <c r="AO181" s="111">
        <v>5</v>
      </c>
      <c r="AP181" s="111">
        <v>5</v>
      </c>
      <c r="AQ181" s="111">
        <v>5</v>
      </c>
      <c r="AR181" s="111">
        <v>5</v>
      </c>
      <c r="AS181" s="111">
        <v>5</v>
      </c>
      <c r="AT181" s="111">
        <v>5</v>
      </c>
      <c r="AU181" s="111">
        <v>5</v>
      </c>
      <c r="AV181" s="50" t="s">
        <v>199</v>
      </c>
      <c r="AW181" s="50" t="s">
        <v>199</v>
      </c>
      <c r="AX181" s="50" t="s">
        <v>199</v>
      </c>
      <c r="AY181" s="50" t="s">
        <v>200</v>
      </c>
      <c r="AZ181" s="50" t="s">
        <v>200</v>
      </c>
      <c r="BA181" s="50" t="s">
        <v>200</v>
      </c>
      <c r="BB181" s="50" t="s">
        <v>200</v>
      </c>
      <c r="BC181" s="50" t="s">
        <v>200</v>
      </c>
      <c r="BD181" s="50" t="s">
        <v>200</v>
      </c>
      <c r="BE181" s="50" t="s">
        <v>200</v>
      </c>
      <c r="BF181" s="50" t="s">
        <v>200</v>
      </c>
      <c r="BG181" s="50" t="s">
        <v>200</v>
      </c>
      <c r="BH181" s="50" t="s">
        <v>200</v>
      </c>
      <c r="BI181" s="50" t="s">
        <v>200</v>
      </c>
      <c r="BJ181" s="50" t="s">
        <v>200</v>
      </c>
      <c r="BK181" s="50" t="s">
        <v>200</v>
      </c>
      <c r="BL181" s="50" t="s">
        <v>200</v>
      </c>
      <c r="BM181" s="50" t="s">
        <v>436</v>
      </c>
      <c r="BN181" s="50" t="s">
        <v>318</v>
      </c>
      <c r="BO181" s="50" t="s">
        <v>91</v>
      </c>
      <c r="BP181" s="50" t="s">
        <v>286</v>
      </c>
      <c r="BQ181" s="50" t="s">
        <v>287</v>
      </c>
      <c r="BR181" s="50" t="s">
        <v>410</v>
      </c>
      <c r="BS181" s="111">
        <v>4</v>
      </c>
      <c r="BT181" s="50" t="s">
        <v>286</v>
      </c>
      <c r="BU181" s="50" t="s">
        <v>312</v>
      </c>
      <c r="BV181" s="50" t="s">
        <v>288</v>
      </c>
      <c r="BW181" s="50" t="s">
        <v>303</v>
      </c>
      <c r="BX181" s="50" t="s">
        <v>296</v>
      </c>
      <c r="BY181" s="50" t="s">
        <v>288</v>
      </c>
      <c r="BZ181" s="50" t="s">
        <v>287</v>
      </c>
      <c r="CA181" s="50"/>
      <c r="CB181" s="50" t="s">
        <v>287</v>
      </c>
      <c r="CC181" s="50" t="s">
        <v>287</v>
      </c>
      <c r="CD181" s="50" t="s">
        <v>287</v>
      </c>
      <c r="CE181" s="50"/>
      <c r="CF181" s="50" t="s">
        <v>287</v>
      </c>
      <c r="CG181" s="50" t="s">
        <v>287</v>
      </c>
      <c r="CH181" s="50" t="s">
        <v>486</v>
      </c>
      <c r="CI181" s="50" t="s">
        <v>287</v>
      </c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1:97" ht="36.75" customHeight="1" thickBot="1">
      <c r="A182" s="49">
        <v>46086.64435185185</v>
      </c>
      <c r="B182" s="50" t="s">
        <v>39</v>
      </c>
      <c r="C182" s="50" t="s">
        <v>45</v>
      </c>
      <c r="D182" s="50" t="s">
        <v>369</v>
      </c>
      <c r="E182" s="50" t="s">
        <v>61</v>
      </c>
      <c r="F182" s="50" t="s">
        <v>286</v>
      </c>
      <c r="G182" s="50" t="s">
        <v>73</v>
      </c>
      <c r="H182" s="50" t="s">
        <v>314</v>
      </c>
      <c r="I182" s="50" t="s">
        <v>92</v>
      </c>
      <c r="J182" s="50" t="s">
        <v>286</v>
      </c>
      <c r="K182" s="50" t="s">
        <v>287</v>
      </c>
      <c r="L182" s="50" t="s">
        <v>336</v>
      </c>
      <c r="M182" s="50" t="s">
        <v>7</v>
      </c>
      <c r="N182" s="111">
        <v>5</v>
      </c>
      <c r="O182" s="111">
        <v>5</v>
      </c>
      <c r="P182" s="111">
        <v>5</v>
      </c>
      <c r="Q182" s="111">
        <v>5</v>
      </c>
      <c r="R182" s="111">
        <v>5</v>
      </c>
      <c r="S182" s="111">
        <v>5</v>
      </c>
      <c r="T182" s="111">
        <v>5</v>
      </c>
      <c r="U182" s="111">
        <v>5</v>
      </c>
      <c r="V182" s="111">
        <v>5</v>
      </c>
      <c r="W182" s="111">
        <v>5</v>
      </c>
      <c r="X182" s="111">
        <v>5</v>
      </c>
      <c r="Y182" s="111">
        <v>5</v>
      </c>
      <c r="Z182" s="111">
        <v>5</v>
      </c>
      <c r="AA182" s="111">
        <v>5</v>
      </c>
      <c r="AB182" s="111">
        <v>5</v>
      </c>
      <c r="AC182" s="111">
        <v>5</v>
      </c>
      <c r="AD182" s="111">
        <v>5</v>
      </c>
      <c r="AE182" s="111">
        <v>5</v>
      </c>
      <c r="AF182" s="111">
        <v>5</v>
      </c>
      <c r="AG182" s="111">
        <v>5</v>
      </c>
      <c r="AH182" s="111">
        <v>5</v>
      </c>
      <c r="AI182" s="111">
        <v>5</v>
      </c>
      <c r="AJ182" s="111">
        <v>5</v>
      </c>
      <c r="AK182" s="111">
        <v>5</v>
      </c>
      <c r="AL182" s="111">
        <v>5</v>
      </c>
      <c r="AM182" s="111">
        <v>5</v>
      </c>
      <c r="AN182" s="111">
        <v>5</v>
      </c>
      <c r="AO182" s="111">
        <v>5</v>
      </c>
      <c r="AP182" s="111">
        <v>5</v>
      </c>
      <c r="AQ182" s="111">
        <v>5</v>
      </c>
      <c r="AR182" s="111">
        <v>5</v>
      </c>
      <c r="AS182" s="111">
        <v>5</v>
      </c>
      <c r="AT182" s="111">
        <v>5</v>
      </c>
      <c r="AU182" s="111">
        <v>5</v>
      </c>
      <c r="AV182" s="50" t="s">
        <v>199</v>
      </c>
      <c r="AW182" s="50" t="s">
        <v>199</v>
      </c>
      <c r="AX182" s="50" t="s">
        <v>199</v>
      </c>
      <c r="AY182" s="50" t="s">
        <v>200</v>
      </c>
      <c r="AZ182" s="50" t="s">
        <v>200</v>
      </c>
      <c r="BA182" s="50" t="s">
        <v>200</v>
      </c>
      <c r="BB182" s="50" t="s">
        <v>200</v>
      </c>
      <c r="BC182" s="50" t="s">
        <v>200</v>
      </c>
      <c r="BD182" s="50" t="s">
        <v>200</v>
      </c>
      <c r="BE182" s="50" t="s">
        <v>200</v>
      </c>
      <c r="BF182" s="50" t="s">
        <v>200</v>
      </c>
      <c r="BG182" s="50" t="s">
        <v>200</v>
      </c>
      <c r="BH182" s="50" t="s">
        <v>200</v>
      </c>
      <c r="BI182" s="50" t="s">
        <v>200</v>
      </c>
      <c r="BJ182" s="50" t="s">
        <v>200</v>
      </c>
      <c r="BK182" s="50" t="s">
        <v>200</v>
      </c>
      <c r="BL182" s="50" t="s">
        <v>200</v>
      </c>
      <c r="BM182" s="50" t="s">
        <v>436</v>
      </c>
      <c r="BN182" s="50" t="s">
        <v>318</v>
      </c>
      <c r="BO182" s="50" t="s">
        <v>91</v>
      </c>
      <c r="BP182" s="50" t="s">
        <v>286</v>
      </c>
      <c r="BQ182" s="50" t="s">
        <v>287</v>
      </c>
      <c r="BR182" s="50" t="s">
        <v>305</v>
      </c>
      <c r="BS182" s="111">
        <v>4</v>
      </c>
      <c r="BT182" s="50" t="s">
        <v>286</v>
      </c>
      <c r="BU182" s="50" t="s">
        <v>312</v>
      </c>
      <c r="BV182" s="50" t="s">
        <v>288</v>
      </c>
      <c r="BW182" s="50" t="s">
        <v>297</v>
      </c>
      <c r="BX182" s="50" t="s">
        <v>290</v>
      </c>
      <c r="BY182" s="50" t="s">
        <v>288</v>
      </c>
      <c r="BZ182" s="50" t="s">
        <v>287</v>
      </c>
      <c r="CA182" s="50"/>
      <c r="CB182" s="50" t="s">
        <v>287</v>
      </c>
      <c r="CC182" s="50" t="s">
        <v>287</v>
      </c>
      <c r="CD182" s="50" t="s">
        <v>287</v>
      </c>
      <c r="CE182" s="50"/>
      <c r="CF182" s="50" t="s">
        <v>287</v>
      </c>
      <c r="CG182" s="50" t="s">
        <v>287</v>
      </c>
      <c r="CH182" s="50" t="s">
        <v>486</v>
      </c>
      <c r="CI182" s="50" t="s">
        <v>287</v>
      </c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1:97" ht="36.75" customHeight="1" thickBot="1">
      <c r="A183" s="49">
        <v>46086.69091435185</v>
      </c>
      <c r="B183" s="50" t="s">
        <v>33</v>
      </c>
      <c r="C183" s="50" t="s">
        <v>45</v>
      </c>
      <c r="D183" s="50" t="s">
        <v>374</v>
      </c>
      <c r="E183" s="50" t="s">
        <v>61</v>
      </c>
      <c r="F183" s="50" t="s">
        <v>286</v>
      </c>
      <c r="G183" s="50" t="s">
        <v>73</v>
      </c>
      <c r="H183" s="50" t="s">
        <v>401</v>
      </c>
      <c r="I183" s="50" t="s">
        <v>91</v>
      </c>
      <c r="J183" s="50" t="s">
        <v>286</v>
      </c>
      <c r="K183" s="50" t="s">
        <v>291</v>
      </c>
      <c r="L183" s="50" t="s">
        <v>286</v>
      </c>
      <c r="M183" s="50" t="s">
        <v>370</v>
      </c>
      <c r="N183" s="111">
        <v>5</v>
      </c>
      <c r="O183" s="111">
        <v>5</v>
      </c>
      <c r="P183" s="111">
        <v>5</v>
      </c>
      <c r="Q183" s="111">
        <v>6</v>
      </c>
      <c r="R183" s="111">
        <v>6</v>
      </c>
      <c r="S183" s="111">
        <v>6</v>
      </c>
      <c r="T183" s="111">
        <v>4</v>
      </c>
      <c r="U183" s="111">
        <v>5</v>
      </c>
      <c r="V183" s="111">
        <v>6</v>
      </c>
      <c r="W183" s="111">
        <v>6</v>
      </c>
      <c r="X183" s="111">
        <v>6</v>
      </c>
      <c r="Y183" s="111">
        <v>6</v>
      </c>
      <c r="Z183" s="111">
        <v>6</v>
      </c>
      <c r="AA183" s="111">
        <v>6</v>
      </c>
      <c r="AB183" s="111">
        <v>6</v>
      </c>
      <c r="AC183" s="111">
        <v>5</v>
      </c>
      <c r="AD183" s="111">
        <v>5</v>
      </c>
      <c r="AE183" s="111">
        <v>5</v>
      </c>
      <c r="AF183" s="111">
        <v>5</v>
      </c>
      <c r="AG183" s="111">
        <v>5</v>
      </c>
      <c r="AH183" s="111">
        <v>5</v>
      </c>
      <c r="AI183" s="111">
        <v>5</v>
      </c>
      <c r="AJ183" s="111">
        <v>5</v>
      </c>
      <c r="AK183" s="111">
        <v>5</v>
      </c>
      <c r="AL183" s="111">
        <v>5</v>
      </c>
      <c r="AM183" s="111">
        <v>5</v>
      </c>
      <c r="AN183" s="111">
        <v>5</v>
      </c>
      <c r="AO183" s="111">
        <v>5</v>
      </c>
      <c r="AP183" s="111">
        <v>5</v>
      </c>
      <c r="AQ183" s="111">
        <v>6</v>
      </c>
      <c r="AR183" s="111">
        <v>5</v>
      </c>
      <c r="AS183" s="111">
        <v>5</v>
      </c>
      <c r="AT183" s="111">
        <v>5</v>
      </c>
      <c r="AU183" s="111">
        <v>5</v>
      </c>
      <c r="AV183" s="50" t="s">
        <v>202</v>
      </c>
      <c r="AW183" s="50" t="s">
        <v>202</v>
      </c>
      <c r="AX183" s="50" t="s">
        <v>201</v>
      </c>
      <c r="AY183" s="50" t="s">
        <v>199</v>
      </c>
      <c r="AZ183" s="50" t="s">
        <v>201</v>
      </c>
      <c r="BA183" s="50" t="s">
        <v>199</v>
      </c>
      <c r="BB183" s="50" t="s">
        <v>202</v>
      </c>
      <c r="BC183" s="50" t="s">
        <v>202</v>
      </c>
      <c r="BD183" s="50" t="s">
        <v>202</v>
      </c>
      <c r="BE183" s="50" t="s">
        <v>202</v>
      </c>
      <c r="BF183" s="50" t="s">
        <v>202</v>
      </c>
      <c r="BG183" s="50" t="s">
        <v>202</v>
      </c>
      <c r="BH183" s="50" t="s">
        <v>201</v>
      </c>
      <c r="BI183" s="50" t="s">
        <v>202</v>
      </c>
      <c r="BJ183" s="50" t="s">
        <v>202</v>
      </c>
      <c r="BK183" s="50" t="s">
        <v>202</v>
      </c>
      <c r="BL183" s="50" t="s">
        <v>202</v>
      </c>
      <c r="BM183" s="50" t="s">
        <v>436</v>
      </c>
      <c r="BN183" s="50" t="s">
        <v>388</v>
      </c>
      <c r="BO183" s="50" t="s">
        <v>91</v>
      </c>
      <c r="BP183" s="50"/>
      <c r="BQ183" s="50" t="s">
        <v>287</v>
      </c>
      <c r="BR183" s="50" t="s">
        <v>386</v>
      </c>
      <c r="BS183" s="111">
        <v>5</v>
      </c>
      <c r="BT183" s="50" t="s">
        <v>286</v>
      </c>
      <c r="BU183" s="50" t="s">
        <v>348</v>
      </c>
      <c r="BV183" s="50" t="s">
        <v>288</v>
      </c>
      <c r="BW183" s="50" t="s">
        <v>350</v>
      </c>
      <c r="BX183" s="50" t="s">
        <v>387</v>
      </c>
      <c r="BY183" s="50" t="s">
        <v>288</v>
      </c>
      <c r="BZ183" s="50" t="s">
        <v>287</v>
      </c>
      <c r="CA183" s="50"/>
      <c r="CB183" s="50" t="s">
        <v>287</v>
      </c>
      <c r="CC183" s="50" t="s">
        <v>287</v>
      </c>
      <c r="CD183" s="50" t="s">
        <v>287</v>
      </c>
      <c r="CE183" s="50"/>
      <c r="CF183" s="50" t="s">
        <v>287</v>
      </c>
      <c r="CG183" s="50" t="s">
        <v>287</v>
      </c>
      <c r="CH183" s="50" t="s">
        <v>486</v>
      </c>
      <c r="CI183" s="50" t="s">
        <v>287</v>
      </c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1:97" ht="36.75" customHeight="1" thickBot="1">
      <c r="A184" s="49">
        <v>46087.248310185183</v>
      </c>
      <c r="B184" s="50" t="s">
        <v>33</v>
      </c>
      <c r="C184" s="50" t="s">
        <v>45</v>
      </c>
      <c r="D184" s="50" t="s">
        <v>369</v>
      </c>
      <c r="E184" s="50" t="s">
        <v>53</v>
      </c>
      <c r="F184" s="50" t="s">
        <v>286</v>
      </c>
      <c r="G184" s="50" t="s">
        <v>292</v>
      </c>
      <c r="H184" s="50" t="s">
        <v>330</v>
      </c>
      <c r="I184" s="50" t="s">
        <v>295</v>
      </c>
      <c r="J184" s="50" t="s">
        <v>286</v>
      </c>
      <c r="K184" s="50" t="s">
        <v>287</v>
      </c>
      <c r="L184" s="50" t="s">
        <v>336</v>
      </c>
      <c r="M184" s="50" t="s">
        <v>311</v>
      </c>
      <c r="N184" s="111">
        <v>5</v>
      </c>
      <c r="O184" s="111">
        <v>5</v>
      </c>
      <c r="P184" s="111">
        <v>5</v>
      </c>
      <c r="Q184" s="111">
        <v>5</v>
      </c>
      <c r="R184" s="111">
        <v>5</v>
      </c>
      <c r="S184" s="111">
        <v>5</v>
      </c>
      <c r="T184" s="111">
        <v>5</v>
      </c>
      <c r="U184" s="111">
        <v>5</v>
      </c>
      <c r="V184" s="111">
        <v>5</v>
      </c>
      <c r="W184" s="111">
        <v>5</v>
      </c>
      <c r="X184" s="111">
        <v>5</v>
      </c>
      <c r="Y184" s="111">
        <v>5</v>
      </c>
      <c r="Z184" s="111">
        <v>5</v>
      </c>
      <c r="AA184" s="111">
        <v>5</v>
      </c>
      <c r="AB184" s="111">
        <v>5</v>
      </c>
      <c r="AC184" s="111">
        <v>5</v>
      </c>
      <c r="AD184" s="111">
        <v>5</v>
      </c>
      <c r="AE184" s="111">
        <v>5</v>
      </c>
      <c r="AF184" s="111">
        <v>5</v>
      </c>
      <c r="AG184" s="111">
        <v>5</v>
      </c>
      <c r="AH184" s="111">
        <v>5</v>
      </c>
      <c r="AI184" s="111">
        <v>5</v>
      </c>
      <c r="AJ184" s="111">
        <v>5</v>
      </c>
      <c r="AK184" s="111">
        <v>5</v>
      </c>
      <c r="AL184" s="111">
        <v>5</v>
      </c>
      <c r="AM184" s="111">
        <v>5</v>
      </c>
      <c r="AN184" s="111">
        <v>5</v>
      </c>
      <c r="AO184" s="111">
        <v>5</v>
      </c>
      <c r="AP184" s="111">
        <v>5</v>
      </c>
      <c r="AQ184" s="111">
        <v>5</v>
      </c>
      <c r="AR184" s="111">
        <v>5</v>
      </c>
      <c r="AS184" s="111">
        <v>5</v>
      </c>
      <c r="AT184" s="111">
        <v>5</v>
      </c>
      <c r="AU184" s="111">
        <v>5</v>
      </c>
      <c r="AV184" s="50" t="s">
        <v>199</v>
      </c>
      <c r="AW184" s="50" t="s">
        <v>199</v>
      </c>
      <c r="AX184" s="50" t="s">
        <v>199</v>
      </c>
      <c r="AY184" s="50" t="s">
        <v>200</v>
      </c>
      <c r="AZ184" s="50" t="s">
        <v>200</v>
      </c>
      <c r="BA184" s="50" t="s">
        <v>200</v>
      </c>
      <c r="BB184" s="50" t="s">
        <v>200</v>
      </c>
      <c r="BC184" s="50" t="s">
        <v>200</v>
      </c>
      <c r="BD184" s="50" t="s">
        <v>200</v>
      </c>
      <c r="BE184" s="50" t="s">
        <v>200</v>
      </c>
      <c r="BF184" s="50" t="s">
        <v>200</v>
      </c>
      <c r="BG184" s="50" t="s">
        <v>200</v>
      </c>
      <c r="BH184" s="50" t="s">
        <v>200</v>
      </c>
      <c r="BI184" s="50" t="s">
        <v>200</v>
      </c>
      <c r="BJ184" s="50" t="s">
        <v>200</v>
      </c>
      <c r="BK184" s="50" t="s">
        <v>200</v>
      </c>
      <c r="BL184" s="50" t="s">
        <v>200</v>
      </c>
      <c r="BM184" s="50" t="s">
        <v>436</v>
      </c>
      <c r="BN184" s="50" t="s">
        <v>318</v>
      </c>
      <c r="BO184" s="50" t="s">
        <v>91</v>
      </c>
      <c r="BP184" s="50" t="s">
        <v>286</v>
      </c>
      <c r="BQ184" s="50" t="s">
        <v>287</v>
      </c>
      <c r="BR184" s="50" t="s">
        <v>403</v>
      </c>
      <c r="BS184" s="111">
        <v>5</v>
      </c>
      <c r="BT184" s="50" t="s">
        <v>286</v>
      </c>
      <c r="BU184" s="50" t="s">
        <v>312</v>
      </c>
      <c r="BV184" s="50" t="s">
        <v>288</v>
      </c>
      <c r="BW184" s="50" t="s">
        <v>289</v>
      </c>
      <c r="BX184" s="50" t="s">
        <v>300</v>
      </c>
      <c r="BY184" s="50" t="s">
        <v>288</v>
      </c>
      <c r="BZ184" s="50" t="s">
        <v>287</v>
      </c>
      <c r="CA184" s="50"/>
      <c r="CB184" s="50" t="s">
        <v>287</v>
      </c>
      <c r="CC184" s="50" t="s">
        <v>287</v>
      </c>
      <c r="CD184" s="50" t="s">
        <v>287</v>
      </c>
      <c r="CE184" s="50"/>
      <c r="CF184" s="50" t="s">
        <v>287</v>
      </c>
      <c r="CG184" s="50" t="s">
        <v>287</v>
      </c>
      <c r="CH184" s="50" t="s">
        <v>486</v>
      </c>
      <c r="CI184" s="50" t="s">
        <v>287</v>
      </c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1:97" ht="36.75" customHeight="1" thickBot="1">
      <c r="A185" s="49">
        <v>46087.2502662037</v>
      </c>
      <c r="B185" s="50" t="s">
        <v>36</v>
      </c>
      <c r="C185" s="50" t="s">
        <v>46</v>
      </c>
      <c r="D185" s="50" t="s">
        <v>374</v>
      </c>
      <c r="E185" s="50" t="s">
        <v>61</v>
      </c>
      <c r="F185" s="50" t="s">
        <v>286</v>
      </c>
      <c r="G185" s="50" t="s">
        <v>73</v>
      </c>
      <c r="H185" s="50" t="s">
        <v>326</v>
      </c>
      <c r="I185" s="50" t="s">
        <v>92</v>
      </c>
      <c r="J185" s="50" t="s">
        <v>286</v>
      </c>
      <c r="K185" s="50" t="s">
        <v>287</v>
      </c>
      <c r="L185" s="50" t="s">
        <v>310</v>
      </c>
      <c r="M185" s="50" t="s">
        <v>311</v>
      </c>
      <c r="N185" s="111">
        <v>5</v>
      </c>
      <c r="O185" s="111">
        <v>5</v>
      </c>
      <c r="P185" s="111">
        <v>5</v>
      </c>
      <c r="Q185" s="111">
        <v>5</v>
      </c>
      <c r="R185" s="111">
        <v>5</v>
      </c>
      <c r="S185" s="111">
        <v>5</v>
      </c>
      <c r="T185" s="111">
        <v>5</v>
      </c>
      <c r="U185" s="111">
        <v>5</v>
      </c>
      <c r="V185" s="111">
        <v>5</v>
      </c>
      <c r="W185" s="111">
        <v>5</v>
      </c>
      <c r="X185" s="111">
        <v>5</v>
      </c>
      <c r="Y185" s="111">
        <v>5</v>
      </c>
      <c r="Z185" s="111">
        <v>5</v>
      </c>
      <c r="AA185" s="111">
        <v>5</v>
      </c>
      <c r="AB185" s="111">
        <v>5</v>
      </c>
      <c r="AC185" s="111">
        <v>5</v>
      </c>
      <c r="AD185" s="111">
        <v>5</v>
      </c>
      <c r="AE185" s="111">
        <v>5</v>
      </c>
      <c r="AF185" s="111">
        <v>5</v>
      </c>
      <c r="AG185" s="111">
        <v>5</v>
      </c>
      <c r="AH185" s="111">
        <v>5</v>
      </c>
      <c r="AI185" s="111">
        <v>5</v>
      </c>
      <c r="AJ185" s="111">
        <v>5</v>
      </c>
      <c r="AK185" s="111">
        <v>5</v>
      </c>
      <c r="AL185" s="111">
        <v>5</v>
      </c>
      <c r="AM185" s="111">
        <v>5</v>
      </c>
      <c r="AN185" s="111">
        <v>5</v>
      </c>
      <c r="AO185" s="111">
        <v>5</v>
      </c>
      <c r="AP185" s="111">
        <v>5</v>
      </c>
      <c r="AQ185" s="111">
        <v>5</v>
      </c>
      <c r="AR185" s="111">
        <v>5</v>
      </c>
      <c r="AS185" s="111">
        <v>5</v>
      </c>
      <c r="AT185" s="111">
        <v>5</v>
      </c>
      <c r="AU185" s="111">
        <v>5</v>
      </c>
      <c r="AV185" s="50" t="s">
        <v>199</v>
      </c>
      <c r="AW185" s="50" t="s">
        <v>199</v>
      </c>
      <c r="AX185" s="50" t="s">
        <v>199</v>
      </c>
      <c r="AY185" s="50" t="s">
        <v>200</v>
      </c>
      <c r="AZ185" s="50" t="s">
        <v>200</v>
      </c>
      <c r="BA185" s="50" t="s">
        <v>200</v>
      </c>
      <c r="BB185" s="50" t="s">
        <v>200</v>
      </c>
      <c r="BC185" s="50" t="s">
        <v>200</v>
      </c>
      <c r="BD185" s="50" t="s">
        <v>200</v>
      </c>
      <c r="BE185" s="50" t="s">
        <v>200</v>
      </c>
      <c r="BF185" s="50" t="s">
        <v>200</v>
      </c>
      <c r="BG185" s="50" t="s">
        <v>200</v>
      </c>
      <c r="BH185" s="50" t="s">
        <v>200</v>
      </c>
      <c r="BI185" s="50" t="s">
        <v>200</v>
      </c>
      <c r="BJ185" s="50" t="s">
        <v>200</v>
      </c>
      <c r="BK185" s="50" t="s">
        <v>200</v>
      </c>
      <c r="BL185" s="50" t="s">
        <v>200</v>
      </c>
      <c r="BM185" s="50" t="s">
        <v>436</v>
      </c>
      <c r="BN185" s="50" t="s">
        <v>318</v>
      </c>
      <c r="BO185" s="50" t="s">
        <v>91</v>
      </c>
      <c r="BP185" s="50" t="s">
        <v>286</v>
      </c>
      <c r="BQ185" s="50" t="s">
        <v>287</v>
      </c>
      <c r="BR185" s="50" t="s">
        <v>403</v>
      </c>
      <c r="BS185" s="111">
        <v>5</v>
      </c>
      <c r="BT185" s="50" t="s">
        <v>286</v>
      </c>
      <c r="BU185" s="50" t="s">
        <v>312</v>
      </c>
      <c r="BV185" s="50" t="s">
        <v>288</v>
      </c>
      <c r="BW185" s="50" t="s">
        <v>293</v>
      </c>
      <c r="BX185" s="50" t="s">
        <v>294</v>
      </c>
      <c r="BY185" s="50" t="s">
        <v>288</v>
      </c>
      <c r="BZ185" s="50" t="s">
        <v>287</v>
      </c>
      <c r="CA185" s="50"/>
      <c r="CB185" s="50" t="s">
        <v>287</v>
      </c>
      <c r="CC185" s="50" t="s">
        <v>287</v>
      </c>
      <c r="CD185" s="50" t="s">
        <v>287</v>
      </c>
      <c r="CE185" s="50"/>
      <c r="CF185" s="50" t="s">
        <v>287</v>
      </c>
      <c r="CG185" s="50" t="s">
        <v>287</v>
      </c>
      <c r="CH185" s="50" t="s">
        <v>486</v>
      </c>
      <c r="CI185" s="50" t="s">
        <v>287</v>
      </c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1:97" ht="36.75" customHeight="1" thickBot="1">
      <c r="A186" s="49">
        <v>46087.252418981479</v>
      </c>
      <c r="B186" s="50" t="s">
        <v>40</v>
      </c>
      <c r="C186" s="50" t="s">
        <v>46</v>
      </c>
      <c r="D186" s="50" t="s">
        <v>374</v>
      </c>
      <c r="E186" s="50" t="s">
        <v>60</v>
      </c>
      <c r="F186" s="50" t="s">
        <v>286</v>
      </c>
      <c r="G186" s="50" t="s">
        <v>292</v>
      </c>
      <c r="H186" s="50" t="s">
        <v>339</v>
      </c>
      <c r="I186" s="50" t="s">
        <v>81</v>
      </c>
      <c r="J186" s="50" t="s">
        <v>286</v>
      </c>
      <c r="K186" s="50" t="s">
        <v>287</v>
      </c>
      <c r="L186" s="50" t="s">
        <v>336</v>
      </c>
      <c r="M186" s="50" t="s">
        <v>311</v>
      </c>
      <c r="N186" s="111">
        <v>5</v>
      </c>
      <c r="O186" s="111">
        <v>5</v>
      </c>
      <c r="P186" s="111">
        <v>5</v>
      </c>
      <c r="Q186" s="111">
        <v>5</v>
      </c>
      <c r="R186" s="111">
        <v>5</v>
      </c>
      <c r="S186" s="111">
        <v>5</v>
      </c>
      <c r="T186" s="111">
        <v>5</v>
      </c>
      <c r="U186" s="111">
        <v>5</v>
      </c>
      <c r="V186" s="111">
        <v>5</v>
      </c>
      <c r="W186" s="111">
        <v>5</v>
      </c>
      <c r="X186" s="111">
        <v>5</v>
      </c>
      <c r="Y186" s="111">
        <v>5</v>
      </c>
      <c r="Z186" s="111">
        <v>5</v>
      </c>
      <c r="AA186" s="111">
        <v>5</v>
      </c>
      <c r="AB186" s="111">
        <v>5</v>
      </c>
      <c r="AC186" s="111">
        <v>5</v>
      </c>
      <c r="AD186" s="111">
        <v>5</v>
      </c>
      <c r="AE186" s="111">
        <v>5</v>
      </c>
      <c r="AF186" s="111">
        <v>5</v>
      </c>
      <c r="AG186" s="111">
        <v>5</v>
      </c>
      <c r="AH186" s="111">
        <v>5</v>
      </c>
      <c r="AI186" s="111">
        <v>5</v>
      </c>
      <c r="AJ186" s="111">
        <v>5</v>
      </c>
      <c r="AK186" s="111">
        <v>5</v>
      </c>
      <c r="AL186" s="111">
        <v>5</v>
      </c>
      <c r="AM186" s="111">
        <v>5</v>
      </c>
      <c r="AN186" s="111">
        <v>5</v>
      </c>
      <c r="AO186" s="111">
        <v>5</v>
      </c>
      <c r="AP186" s="111">
        <v>5</v>
      </c>
      <c r="AQ186" s="111">
        <v>5</v>
      </c>
      <c r="AR186" s="111">
        <v>5</v>
      </c>
      <c r="AS186" s="111">
        <v>5</v>
      </c>
      <c r="AT186" s="111">
        <v>5</v>
      </c>
      <c r="AU186" s="111">
        <v>5</v>
      </c>
      <c r="AV186" s="50" t="s">
        <v>199</v>
      </c>
      <c r="AW186" s="50" t="s">
        <v>199</v>
      </c>
      <c r="AX186" s="50" t="s">
        <v>199</v>
      </c>
      <c r="AY186" s="50" t="s">
        <v>200</v>
      </c>
      <c r="AZ186" s="50" t="s">
        <v>200</v>
      </c>
      <c r="BA186" s="50" t="s">
        <v>200</v>
      </c>
      <c r="BB186" s="50" t="s">
        <v>200</v>
      </c>
      <c r="BC186" s="50" t="s">
        <v>200</v>
      </c>
      <c r="BD186" s="50" t="s">
        <v>200</v>
      </c>
      <c r="BE186" s="50" t="s">
        <v>200</v>
      </c>
      <c r="BF186" s="50" t="s">
        <v>200</v>
      </c>
      <c r="BG186" s="50" t="s">
        <v>200</v>
      </c>
      <c r="BH186" s="50" t="s">
        <v>200</v>
      </c>
      <c r="BI186" s="50" t="s">
        <v>200</v>
      </c>
      <c r="BJ186" s="50" t="s">
        <v>200</v>
      </c>
      <c r="BK186" s="50" t="s">
        <v>200</v>
      </c>
      <c r="BL186" s="50" t="s">
        <v>200</v>
      </c>
      <c r="BM186" s="50" t="s">
        <v>436</v>
      </c>
      <c r="BN186" s="50" t="s">
        <v>318</v>
      </c>
      <c r="BO186" s="50" t="s">
        <v>91</v>
      </c>
      <c r="BP186" s="50" t="s">
        <v>286</v>
      </c>
      <c r="BQ186" s="50" t="s">
        <v>287</v>
      </c>
      <c r="BR186" s="50" t="s">
        <v>404</v>
      </c>
      <c r="BS186" s="111">
        <v>5</v>
      </c>
      <c r="BT186" s="50" t="s">
        <v>286</v>
      </c>
      <c r="BU186" s="50" t="s">
        <v>312</v>
      </c>
      <c r="BV186" s="50" t="s">
        <v>288</v>
      </c>
      <c r="BW186" s="50" t="s">
        <v>289</v>
      </c>
      <c r="BX186" s="50" t="s">
        <v>300</v>
      </c>
      <c r="BY186" s="50" t="s">
        <v>288</v>
      </c>
      <c r="BZ186" s="50" t="s">
        <v>287</v>
      </c>
      <c r="CA186" s="50"/>
      <c r="CB186" s="50" t="s">
        <v>287</v>
      </c>
      <c r="CC186" s="50" t="s">
        <v>287</v>
      </c>
      <c r="CD186" s="50" t="s">
        <v>287</v>
      </c>
      <c r="CE186" s="50"/>
      <c r="CF186" s="50" t="s">
        <v>287</v>
      </c>
      <c r="CG186" s="50" t="s">
        <v>287</v>
      </c>
      <c r="CH186" s="50" t="s">
        <v>486</v>
      </c>
      <c r="CI186" s="50" t="s">
        <v>287</v>
      </c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1:97" ht="36.75" customHeight="1" thickBot="1">
      <c r="A187" s="49">
        <v>46087.254687499997</v>
      </c>
      <c r="B187" s="50" t="s">
        <v>40</v>
      </c>
      <c r="C187" s="50" t="s">
        <v>45</v>
      </c>
      <c r="D187" s="50" t="s">
        <v>374</v>
      </c>
      <c r="E187" s="50" t="s">
        <v>59</v>
      </c>
      <c r="F187" s="50" t="s">
        <v>286</v>
      </c>
      <c r="G187" s="50" t="s">
        <v>73</v>
      </c>
      <c r="H187" s="50" t="s">
        <v>539</v>
      </c>
      <c r="I187" s="50" t="s">
        <v>81</v>
      </c>
      <c r="J187" s="50" t="s">
        <v>286</v>
      </c>
      <c r="K187" s="50" t="s">
        <v>287</v>
      </c>
      <c r="L187" s="50" t="s">
        <v>310</v>
      </c>
      <c r="M187" s="50" t="s">
        <v>311</v>
      </c>
      <c r="N187" s="111">
        <v>5</v>
      </c>
      <c r="O187" s="111">
        <v>5</v>
      </c>
      <c r="P187" s="111">
        <v>5</v>
      </c>
      <c r="Q187" s="111">
        <v>5</v>
      </c>
      <c r="R187" s="111">
        <v>5</v>
      </c>
      <c r="S187" s="111">
        <v>5</v>
      </c>
      <c r="T187" s="111">
        <v>5</v>
      </c>
      <c r="U187" s="111">
        <v>5</v>
      </c>
      <c r="V187" s="111">
        <v>5</v>
      </c>
      <c r="W187" s="111">
        <v>5</v>
      </c>
      <c r="X187" s="111">
        <v>5</v>
      </c>
      <c r="Y187" s="111">
        <v>5</v>
      </c>
      <c r="Z187" s="111">
        <v>5</v>
      </c>
      <c r="AA187" s="111">
        <v>5</v>
      </c>
      <c r="AB187" s="111">
        <v>5</v>
      </c>
      <c r="AC187" s="111">
        <v>5</v>
      </c>
      <c r="AD187" s="111">
        <v>5</v>
      </c>
      <c r="AE187" s="111">
        <v>5</v>
      </c>
      <c r="AF187" s="111">
        <v>5</v>
      </c>
      <c r="AG187" s="111">
        <v>5</v>
      </c>
      <c r="AH187" s="111">
        <v>5</v>
      </c>
      <c r="AI187" s="111">
        <v>5</v>
      </c>
      <c r="AJ187" s="111">
        <v>5</v>
      </c>
      <c r="AK187" s="111">
        <v>5</v>
      </c>
      <c r="AL187" s="111">
        <v>5</v>
      </c>
      <c r="AM187" s="111">
        <v>5</v>
      </c>
      <c r="AN187" s="111">
        <v>5</v>
      </c>
      <c r="AO187" s="111">
        <v>5</v>
      </c>
      <c r="AP187" s="111">
        <v>5</v>
      </c>
      <c r="AQ187" s="111">
        <v>5</v>
      </c>
      <c r="AR187" s="111">
        <v>5</v>
      </c>
      <c r="AS187" s="111">
        <v>5</v>
      </c>
      <c r="AT187" s="111">
        <v>5</v>
      </c>
      <c r="AU187" s="111">
        <v>5</v>
      </c>
      <c r="AV187" s="50" t="s">
        <v>199</v>
      </c>
      <c r="AW187" s="50" t="s">
        <v>199</v>
      </c>
      <c r="AX187" s="50" t="s">
        <v>199</v>
      </c>
      <c r="AY187" s="50" t="s">
        <v>200</v>
      </c>
      <c r="AZ187" s="50" t="s">
        <v>200</v>
      </c>
      <c r="BA187" s="50" t="s">
        <v>200</v>
      </c>
      <c r="BB187" s="50" t="s">
        <v>200</v>
      </c>
      <c r="BC187" s="50" t="s">
        <v>200</v>
      </c>
      <c r="BD187" s="50" t="s">
        <v>200</v>
      </c>
      <c r="BE187" s="50" t="s">
        <v>200</v>
      </c>
      <c r="BF187" s="50" t="s">
        <v>200</v>
      </c>
      <c r="BG187" s="50" t="s">
        <v>200</v>
      </c>
      <c r="BH187" s="50" t="s">
        <v>200</v>
      </c>
      <c r="BI187" s="50" t="s">
        <v>200</v>
      </c>
      <c r="BJ187" s="50" t="s">
        <v>200</v>
      </c>
      <c r="BK187" s="50" t="s">
        <v>200</v>
      </c>
      <c r="BL187" s="50" t="s">
        <v>200</v>
      </c>
      <c r="BM187" s="50" t="s">
        <v>436</v>
      </c>
      <c r="BN187" s="50" t="s">
        <v>489</v>
      </c>
      <c r="BO187" s="50" t="s">
        <v>91</v>
      </c>
      <c r="BP187" s="50" t="s">
        <v>286</v>
      </c>
      <c r="BQ187" s="50" t="s">
        <v>287</v>
      </c>
      <c r="BR187" s="50" t="s">
        <v>406</v>
      </c>
      <c r="BS187" s="111">
        <v>5</v>
      </c>
      <c r="BT187" s="50" t="s">
        <v>286</v>
      </c>
      <c r="BU187" s="50" t="s">
        <v>312</v>
      </c>
      <c r="BV187" s="50" t="s">
        <v>288</v>
      </c>
      <c r="BW187" s="50" t="s">
        <v>289</v>
      </c>
      <c r="BX187" s="50" t="s">
        <v>290</v>
      </c>
      <c r="BY187" s="50" t="s">
        <v>288</v>
      </c>
      <c r="BZ187" s="50" t="s">
        <v>287</v>
      </c>
      <c r="CA187" s="50"/>
      <c r="CB187" s="50" t="s">
        <v>287</v>
      </c>
      <c r="CC187" s="50" t="s">
        <v>287</v>
      </c>
      <c r="CD187" s="50" t="s">
        <v>287</v>
      </c>
      <c r="CE187" s="50"/>
      <c r="CF187" s="50" t="s">
        <v>287</v>
      </c>
      <c r="CG187" s="50" t="s">
        <v>287</v>
      </c>
      <c r="CH187" s="50" t="s">
        <v>486</v>
      </c>
      <c r="CI187" s="50" t="s">
        <v>287</v>
      </c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1:97" ht="36.75" customHeight="1" thickBot="1">
      <c r="A188" s="49">
        <v>46087.258819444447</v>
      </c>
      <c r="B188" s="50" t="s">
        <v>40</v>
      </c>
      <c r="C188" s="50" t="s">
        <v>46</v>
      </c>
      <c r="D188" s="50" t="s">
        <v>369</v>
      </c>
      <c r="E188" s="50" t="s">
        <v>62</v>
      </c>
      <c r="F188" s="50" t="s">
        <v>286</v>
      </c>
      <c r="G188" s="50" t="s">
        <v>73</v>
      </c>
      <c r="H188" s="50" t="s">
        <v>415</v>
      </c>
      <c r="I188" s="50" t="s">
        <v>81</v>
      </c>
      <c r="J188" s="50" t="s">
        <v>286</v>
      </c>
      <c r="K188" s="50" t="s">
        <v>287</v>
      </c>
      <c r="L188" s="50" t="s">
        <v>424</v>
      </c>
      <c r="M188" s="50" t="s">
        <v>311</v>
      </c>
      <c r="N188" s="111">
        <v>5</v>
      </c>
      <c r="O188" s="111">
        <v>5</v>
      </c>
      <c r="P188" s="111">
        <v>5</v>
      </c>
      <c r="Q188" s="111">
        <v>5</v>
      </c>
      <c r="R188" s="111">
        <v>5</v>
      </c>
      <c r="S188" s="111">
        <v>5</v>
      </c>
      <c r="T188" s="111">
        <v>5</v>
      </c>
      <c r="U188" s="111">
        <v>5</v>
      </c>
      <c r="V188" s="111">
        <v>5</v>
      </c>
      <c r="W188" s="111">
        <v>5</v>
      </c>
      <c r="X188" s="111">
        <v>5</v>
      </c>
      <c r="Y188" s="111">
        <v>5</v>
      </c>
      <c r="Z188" s="111">
        <v>5</v>
      </c>
      <c r="AA188" s="111">
        <v>5</v>
      </c>
      <c r="AB188" s="111">
        <v>5</v>
      </c>
      <c r="AC188" s="111">
        <v>5</v>
      </c>
      <c r="AD188" s="111">
        <v>5</v>
      </c>
      <c r="AE188" s="111">
        <v>5</v>
      </c>
      <c r="AF188" s="111">
        <v>5</v>
      </c>
      <c r="AG188" s="111">
        <v>5</v>
      </c>
      <c r="AH188" s="111">
        <v>5</v>
      </c>
      <c r="AI188" s="111">
        <v>5</v>
      </c>
      <c r="AJ188" s="111">
        <v>5</v>
      </c>
      <c r="AK188" s="111">
        <v>5</v>
      </c>
      <c r="AL188" s="111">
        <v>5</v>
      </c>
      <c r="AM188" s="111">
        <v>5</v>
      </c>
      <c r="AN188" s="111">
        <v>5</v>
      </c>
      <c r="AO188" s="111">
        <v>5</v>
      </c>
      <c r="AP188" s="111">
        <v>5</v>
      </c>
      <c r="AQ188" s="111">
        <v>5</v>
      </c>
      <c r="AR188" s="111">
        <v>5</v>
      </c>
      <c r="AS188" s="111">
        <v>5</v>
      </c>
      <c r="AT188" s="111">
        <v>5</v>
      </c>
      <c r="AU188" s="111">
        <v>5</v>
      </c>
      <c r="AV188" s="50" t="s">
        <v>199</v>
      </c>
      <c r="AW188" s="50" t="s">
        <v>199</v>
      </c>
      <c r="AX188" s="50" t="s">
        <v>199</v>
      </c>
      <c r="AY188" s="50" t="s">
        <v>200</v>
      </c>
      <c r="AZ188" s="50" t="s">
        <v>200</v>
      </c>
      <c r="BA188" s="50" t="s">
        <v>200</v>
      </c>
      <c r="BB188" s="50" t="s">
        <v>200</v>
      </c>
      <c r="BC188" s="50" t="s">
        <v>200</v>
      </c>
      <c r="BD188" s="50" t="s">
        <v>200</v>
      </c>
      <c r="BE188" s="50" t="s">
        <v>200</v>
      </c>
      <c r="BF188" s="50" t="s">
        <v>200</v>
      </c>
      <c r="BG188" s="50" t="s">
        <v>200</v>
      </c>
      <c r="BH188" s="50" t="s">
        <v>200</v>
      </c>
      <c r="BI188" s="50" t="s">
        <v>200</v>
      </c>
      <c r="BJ188" s="50" t="s">
        <v>200</v>
      </c>
      <c r="BK188" s="50" t="s">
        <v>200</v>
      </c>
      <c r="BL188" s="50" t="s">
        <v>200</v>
      </c>
      <c r="BM188" s="50" t="s">
        <v>436</v>
      </c>
      <c r="BN188" s="50" t="s">
        <v>318</v>
      </c>
      <c r="BO188" s="50" t="s">
        <v>91</v>
      </c>
      <c r="BP188" s="50" t="s">
        <v>286</v>
      </c>
      <c r="BQ188" s="50" t="s">
        <v>287</v>
      </c>
      <c r="BR188" s="50" t="s">
        <v>403</v>
      </c>
      <c r="BS188" s="111">
        <v>5</v>
      </c>
      <c r="BT188" s="50" t="s">
        <v>286</v>
      </c>
      <c r="BU188" s="50" t="s">
        <v>312</v>
      </c>
      <c r="BV188" s="50" t="s">
        <v>288</v>
      </c>
      <c r="BW188" s="50" t="s">
        <v>303</v>
      </c>
      <c r="BX188" s="50" t="s">
        <v>296</v>
      </c>
      <c r="BY188" s="50" t="s">
        <v>288</v>
      </c>
      <c r="BZ188" s="50" t="s">
        <v>287</v>
      </c>
      <c r="CA188" s="50"/>
      <c r="CB188" s="50" t="s">
        <v>287</v>
      </c>
      <c r="CC188" s="50" t="s">
        <v>287</v>
      </c>
      <c r="CD188" s="50" t="s">
        <v>287</v>
      </c>
      <c r="CE188" s="50"/>
      <c r="CF188" s="50" t="s">
        <v>287</v>
      </c>
      <c r="CG188" s="50" t="s">
        <v>287</v>
      </c>
      <c r="CH188" s="50" t="s">
        <v>486</v>
      </c>
      <c r="CI188" s="50" t="s">
        <v>287</v>
      </c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1:97" ht="36.75" customHeight="1" thickBot="1">
      <c r="A189" s="49">
        <v>46087.266516203701</v>
      </c>
      <c r="B189" s="50" t="s">
        <v>40</v>
      </c>
      <c r="C189" s="50" t="s">
        <v>46</v>
      </c>
      <c r="D189" s="50" t="s">
        <v>369</v>
      </c>
      <c r="E189" s="50" t="s">
        <v>61</v>
      </c>
      <c r="F189" s="50" t="s">
        <v>286</v>
      </c>
      <c r="G189" s="50" t="s">
        <v>73</v>
      </c>
      <c r="H189" s="50" t="s">
        <v>531</v>
      </c>
      <c r="I189" s="50" t="s">
        <v>81</v>
      </c>
      <c r="J189" s="50" t="s">
        <v>286</v>
      </c>
      <c r="K189" s="50" t="s">
        <v>287</v>
      </c>
      <c r="L189" s="50" t="s">
        <v>540</v>
      </c>
      <c r="M189" s="50" t="s">
        <v>316</v>
      </c>
      <c r="N189" s="111">
        <v>5</v>
      </c>
      <c r="O189" s="111">
        <v>5</v>
      </c>
      <c r="P189" s="111">
        <v>5</v>
      </c>
      <c r="Q189" s="111">
        <v>5</v>
      </c>
      <c r="R189" s="111">
        <v>5</v>
      </c>
      <c r="S189" s="111">
        <v>5</v>
      </c>
      <c r="T189" s="111">
        <v>5</v>
      </c>
      <c r="U189" s="111">
        <v>5</v>
      </c>
      <c r="V189" s="111">
        <v>5</v>
      </c>
      <c r="W189" s="111">
        <v>5</v>
      </c>
      <c r="X189" s="111">
        <v>5</v>
      </c>
      <c r="Y189" s="111">
        <v>5</v>
      </c>
      <c r="Z189" s="111">
        <v>5</v>
      </c>
      <c r="AA189" s="111">
        <v>5</v>
      </c>
      <c r="AB189" s="111">
        <v>5</v>
      </c>
      <c r="AC189" s="111">
        <v>5</v>
      </c>
      <c r="AD189" s="111">
        <v>5</v>
      </c>
      <c r="AE189" s="111">
        <v>5</v>
      </c>
      <c r="AF189" s="111">
        <v>5</v>
      </c>
      <c r="AG189" s="111">
        <v>5</v>
      </c>
      <c r="AH189" s="111">
        <v>5</v>
      </c>
      <c r="AI189" s="111">
        <v>5</v>
      </c>
      <c r="AJ189" s="111">
        <v>5</v>
      </c>
      <c r="AK189" s="111">
        <v>5</v>
      </c>
      <c r="AL189" s="111">
        <v>5</v>
      </c>
      <c r="AM189" s="111">
        <v>5</v>
      </c>
      <c r="AN189" s="111">
        <v>5</v>
      </c>
      <c r="AO189" s="111">
        <v>5</v>
      </c>
      <c r="AP189" s="111">
        <v>5</v>
      </c>
      <c r="AQ189" s="111">
        <v>5</v>
      </c>
      <c r="AR189" s="111">
        <v>5</v>
      </c>
      <c r="AS189" s="111">
        <v>5</v>
      </c>
      <c r="AT189" s="111">
        <v>5</v>
      </c>
      <c r="AU189" s="111">
        <v>5</v>
      </c>
      <c r="AV189" s="50" t="s">
        <v>199</v>
      </c>
      <c r="AW189" s="50" t="s">
        <v>199</v>
      </c>
      <c r="AX189" s="50" t="s">
        <v>199</v>
      </c>
      <c r="AY189" s="50" t="s">
        <v>200</v>
      </c>
      <c r="AZ189" s="50" t="s">
        <v>200</v>
      </c>
      <c r="BA189" s="50" t="s">
        <v>200</v>
      </c>
      <c r="BB189" s="50" t="s">
        <v>200</v>
      </c>
      <c r="BC189" s="50" t="s">
        <v>200</v>
      </c>
      <c r="BD189" s="50" t="s">
        <v>200</v>
      </c>
      <c r="BE189" s="50" t="s">
        <v>200</v>
      </c>
      <c r="BF189" s="50" t="s">
        <v>200</v>
      </c>
      <c r="BG189" s="50" t="s">
        <v>200</v>
      </c>
      <c r="BH189" s="50" t="s">
        <v>200</v>
      </c>
      <c r="BI189" s="50" t="s">
        <v>200</v>
      </c>
      <c r="BJ189" s="50" t="s">
        <v>200</v>
      </c>
      <c r="BK189" s="50" t="s">
        <v>200</v>
      </c>
      <c r="BL189" s="50" t="s">
        <v>200</v>
      </c>
      <c r="BM189" s="50" t="s">
        <v>436</v>
      </c>
      <c r="BN189" s="50" t="s">
        <v>318</v>
      </c>
      <c r="BO189" s="50" t="s">
        <v>91</v>
      </c>
      <c r="BP189" s="50" t="s">
        <v>286</v>
      </c>
      <c r="BQ189" s="50" t="s">
        <v>219</v>
      </c>
      <c r="BR189" s="50" t="s">
        <v>403</v>
      </c>
      <c r="BS189" s="111">
        <v>5</v>
      </c>
      <c r="BT189" s="50" t="s">
        <v>286</v>
      </c>
      <c r="BU189" s="50" t="s">
        <v>312</v>
      </c>
      <c r="BV189" s="50" t="s">
        <v>288</v>
      </c>
      <c r="BW189" s="50" t="s">
        <v>303</v>
      </c>
      <c r="BX189" s="50" t="s">
        <v>290</v>
      </c>
      <c r="BY189" s="50" t="s">
        <v>288</v>
      </c>
      <c r="BZ189" s="50" t="s">
        <v>287</v>
      </c>
      <c r="CA189" s="50"/>
      <c r="CB189" s="50" t="s">
        <v>287</v>
      </c>
      <c r="CC189" s="50" t="s">
        <v>287</v>
      </c>
      <c r="CD189" s="50" t="s">
        <v>287</v>
      </c>
      <c r="CE189" s="50"/>
      <c r="CF189" s="50" t="s">
        <v>287</v>
      </c>
      <c r="CG189" s="50" t="s">
        <v>287</v>
      </c>
      <c r="CH189" s="50" t="s">
        <v>486</v>
      </c>
      <c r="CI189" s="50" t="s">
        <v>287</v>
      </c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1:97" ht="36.75" customHeight="1" thickBot="1">
      <c r="A190" s="49">
        <v>46087.268495370372</v>
      </c>
      <c r="B190" s="50" t="s">
        <v>40</v>
      </c>
      <c r="C190" s="50" t="s">
        <v>46</v>
      </c>
      <c r="D190" s="50" t="s">
        <v>369</v>
      </c>
      <c r="E190" s="50" t="s">
        <v>61</v>
      </c>
      <c r="F190" s="50" t="s">
        <v>286</v>
      </c>
      <c r="G190" s="50" t="s">
        <v>73</v>
      </c>
      <c r="H190" s="50" t="s">
        <v>364</v>
      </c>
      <c r="I190" s="50" t="s">
        <v>81</v>
      </c>
      <c r="J190" s="50" t="s">
        <v>286</v>
      </c>
      <c r="K190" s="50" t="s">
        <v>287</v>
      </c>
      <c r="L190" s="50" t="s">
        <v>344</v>
      </c>
      <c r="M190" s="50" t="s">
        <v>316</v>
      </c>
      <c r="N190" s="111">
        <v>5</v>
      </c>
      <c r="O190" s="111">
        <v>5</v>
      </c>
      <c r="P190" s="111">
        <v>5</v>
      </c>
      <c r="Q190" s="111">
        <v>5</v>
      </c>
      <c r="R190" s="111">
        <v>5</v>
      </c>
      <c r="S190" s="111">
        <v>5</v>
      </c>
      <c r="T190" s="111">
        <v>5</v>
      </c>
      <c r="U190" s="111">
        <v>5</v>
      </c>
      <c r="V190" s="111">
        <v>5</v>
      </c>
      <c r="W190" s="111">
        <v>5</v>
      </c>
      <c r="X190" s="111">
        <v>5</v>
      </c>
      <c r="Y190" s="111">
        <v>5</v>
      </c>
      <c r="Z190" s="111">
        <v>5</v>
      </c>
      <c r="AA190" s="111">
        <v>5</v>
      </c>
      <c r="AB190" s="111">
        <v>5</v>
      </c>
      <c r="AC190" s="111">
        <v>5</v>
      </c>
      <c r="AD190" s="111">
        <v>5</v>
      </c>
      <c r="AE190" s="111">
        <v>5</v>
      </c>
      <c r="AF190" s="111">
        <v>5</v>
      </c>
      <c r="AG190" s="111">
        <v>5</v>
      </c>
      <c r="AH190" s="111">
        <v>5</v>
      </c>
      <c r="AI190" s="111">
        <v>5</v>
      </c>
      <c r="AJ190" s="111">
        <v>5</v>
      </c>
      <c r="AK190" s="111">
        <v>5</v>
      </c>
      <c r="AL190" s="111">
        <v>5</v>
      </c>
      <c r="AM190" s="111">
        <v>5</v>
      </c>
      <c r="AN190" s="111">
        <v>5</v>
      </c>
      <c r="AO190" s="111">
        <v>5</v>
      </c>
      <c r="AP190" s="111">
        <v>5</v>
      </c>
      <c r="AQ190" s="111">
        <v>5</v>
      </c>
      <c r="AR190" s="111">
        <v>5</v>
      </c>
      <c r="AS190" s="111">
        <v>5</v>
      </c>
      <c r="AT190" s="111">
        <v>5</v>
      </c>
      <c r="AU190" s="111">
        <v>5</v>
      </c>
      <c r="AV190" s="50" t="s">
        <v>199</v>
      </c>
      <c r="AW190" s="50" t="s">
        <v>199</v>
      </c>
      <c r="AX190" s="50" t="s">
        <v>199</v>
      </c>
      <c r="AY190" s="50" t="s">
        <v>200</v>
      </c>
      <c r="AZ190" s="50" t="s">
        <v>200</v>
      </c>
      <c r="BA190" s="50" t="s">
        <v>200</v>
      </c>
      <c r="BB190" s="50" t="s">
        <v>200</v>
      </c>
      <c r="BC190" s="50" t="s">
        <v>200</v>
      </c>
      <c r="BD190" s="50" t="s">
        <v>200</v>
      </c>
      <c r="BE190" s="50" t="s">
        <v>200</v>
      </c>
      <c r="BF190" s="50" t="s">
        <v>200</v>
      </c>
      <c r="BG190" s="50" t="s">
        <v>200</v>
      </c>
      <c r="BH190" s="50" t="s">
        <v>200</v>
      </c>
      <c r="BI190" s="50" t="s">
        <v>200</v>
      </c>
      <c r="BJ190" s="50" t="s">
        <v>200</v>
      </c>
      <c r="BK190" s="50" t="s">
        <v>200</v>
      </c>
      <c r="BL190" s="50" t="s">
        <v>200</v>
      </c>
      <c r="BM190" s="50" t="s">
        <v>436</v>
      </c>
      <c r="BN190" s="50" t="s">
        <v>318</v>
      </c>
      <c r="BO190" s="50" t="s">
        <v>91</v>
      </c>
      <c r="BP190" s="50"/>
      <c r="BQ190" s="50" t="s">
        <v>287</v>
      </c>
      <c r="BR190" s="50" t="s">
        <v>373</v>
      </c>
      <c r="BS190" s="111">
        <v>5</v>
      </c>
      <c r="BT190" s="50" t="s">
        <v>286</v>
      </c>
      <c r="BU190" s="50" t="s">
        <v>312</v>
      </c>
      <c r="BV190" s="50" t="s">
        <v>288</v>
      </c>
      <c r="BW190" s="50" t="s">
        <v>293</v>
      </c>
      <c r="BX190" s="50" t="s">
        <v>300</v>
      </c>
      <c r="BY190" s="50" t="s">
        <v>288</v>
      </c>
      <c r="BZ190" s="50" t="s">
        <v>287</v>
      </c>
      <c r="CA190" s="50"/>
      <c r="CB190" s="50" t="s">
        <v>287</v>
      </c>
      <c r="CC190" s="50" t="s">
        <v>287</v>
      </c>
      <c r="CD190" s="50" t="s">
        <v>287</v>
      </c>
      <c r="CE190" s="50"/>
      <c r="CF190" s="50" t="s">
        <v>287</v>
      </c>
      <c r="CG190" s="50" t="s">
        <v>287</v>
      </c>
      <c r="CH190" s="50" t="s">
        <v>486</v>
      </c>
      <c r="CI190" s="50" t="s">
        <v>287</v>
      </c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1:97" ht="36.75" customHeight="1" thickBot="1">
      <c r="A191" s="49">
        <v>46087.270219907405</v>
      </c>
      <c r="B191" s="50" t="s">
        <v>38</v>
      </c>
      <c r="C191" s="50" t="s">
        <v>45</v>
      </c>
      <c r="D191" s="50" t="s">
        <v>369</v>
      </c>
      <c r="E191" s="50" t="s">
        <v>285</v>
      </c>
      <c r="F191" s="50" t="s">
        <v>286</v>
      </c>
      <c r="G191" s="50" t="s">
        <v>74</v>
      </c>
      <c r="H191" s="50" t="s">
        <v>541</v>
      </c>
      <c r="I191" s="50" t="s">
        <v>92</v>
      </c>
      <c r="J191" s="50" t="s">
        <v>286</v>
      </c>
      <c r="K191" s="50" t="s">
        <v>287</v>
      </c>
      <c r="L191" s="50" t="s">
        <v>405</v>
      </c>
      <c r="M191" s="50" t="s">
        <v>316</v>
      </c>
      <c r="N191" s="111">
        <v>5</v>
      </c>
      <c r="O191" s="111">
        <v>5</v>
      </c>
      <c r="P191" s="111">
        <v>5</v>
      </c>
      <c r="Q191" s="111">
        <v>5</v>
      </c>
      <c r="R191" s="111">
        <v>5</v>
      </c>
      <c r="S191" s="111">
        <v>5</v>
      </c>
      <c r="T191" s="111">
        <v>5</v>
      </c>
      <c r="U191" s="111">
        <v>5</v>
      </c>
      <c r="V191" s="111">
        <v>5</v>
      </c>
      <c r="W191" s="111">
        <v>5</v>
      </c>
      <c r="X191" s="111">
        <v>5</v>
      </c>
      <c r="Y191" s="111">
        <v>5</v>
      </c>
      <c r="Z191" s="111">
        <v>5</v>
      </c>
      <c r="AA191" s="111">
        <v>5</v>
      </c>
      <c r="AB191" s="111">
        <v>5</v>
      </c>
      <c r="AC191" s="111">
        <v>5</v>
      </c>
      <c r="AD191" s="111">
        <v>5</v>
      </c>
      <c r="AE191" s="111">
        <v>5</v>
      </c>
      <c r="AF191" s="111">
        <v>5</v>
      </c>
      <c r="AG191" s="111">
        <v>5</v>
      </c>
      <c r="AH191" s="111">
        <v>5</v>
      </c>
      <c r="AI191" s="111">
        <v>5</v>
      </c>
      <c r="AJ191" s="111">
        <v>5</v>
      </c>
      <c r="AK191" s="111">
        <v>5</v>
      </c>
      <c r="AL191" s="111">
        <v>5</v>
      </c>
      <c r="AM191" s="111">
        <v>5</v>
      </c>
      <c r="AN191" s="111">
        <v>5</v>
      </c>
      <c r="AO191" s="111">
        <v>5</v>
      </c>
      <c r="AP191" s="111">
        <v>5</v>
      </c>
      <c r="AQ191" s="111">
        <v>5</v>
      </c>
      <c r="AR191" s="111">
        <v>5</v>
      </c>
      <c r="AS191" s="111">
        <v>5</v>
      </c>
      <c r="AT191" s="111">
        <v>5</v>
      </c>
      <c r="AU191" s="111">
        <v>5</v>
      </c>
      <c r="AV191" s="50" t="s">
        <v>199</v>
      </c>
      <c r="AW191" s="50" t="s">
        <v>199</v>
      </c>
      <c r="AX191" s="50" t="s">
        <v>199</v>
      </c>
      <c r="AY191" s="50" t="s">
        <v>200</v>
      </c>
      <c r="AZ191" s="50" t="s">
        <v>200</v>
      </c>
      <c r="BA191" s="50" t="s">
        <v>200</v>
      </c>
      <c r="BB191" s="50" t="s">
        <v>200</v>
      </c>
      <c r="BC191" s="50" t="s">
        <v>200</v>
      </c>
      <c r="BD191" s="50" t="s">
        <v>200</v>
      </c>
      <c r="BE191" s="50" t="s">
        <v>200</v>
      </c>
      <c r="BF191" s="50" t="s">
        <v>200</v>
      </c>
      <c r="BG191" s="50" t="s">
        <v>200</v>
      </c>
      <c r="BH191" s="50" t="s">
        <v>200</v>
      </c>
      <c r="BI191" s="50" t="s">
        <v>200</v>
      </c>
      <c r="BJ191" s="50" t="s">
        <v>200</v>
      </c>
      <c r="BK191" s="50" t="s">
        <v>200</v>
      </c>
      <c r="BL191" s="50" t="s">
        <v>200</v>
      </c>
      <c r="BM191" s="50" t="s">
        <v>436</v>
      </c>
      <c r="BN191" s="50" t="s">
        <v>318</v>
      </c>
      <c r="BO191" s="50" t="s">
        <v>91</v>
      </c>
      <c r="BP191" s="50" t="s">
        <v>286</v>
      </c>
      <c r="BQ191" s="50" t="s">
        <v>287</v>
      </c>
      <c r="BR191" s="50" t="s">
        <v>414</v>
      </c>
      <c r="BS191" s="111">
        <v>5</v>
      </c>
      <c r="BT191" s="50" t="s">
        <v>286</v>
      </c>
      <c r="BU191" s="50" t="s">
        <v>312</v>
      </c>
      <c r="BV191" s="50" t="s">
        <v>288</v>
      </c>
      <c r="BW191" s="50" t="s">
        <v>289</v>
      </c>
      <c r="BX191" s="50" t="s">
        <v>290</v>
      </c>
      <c r="BY191" s="50" t="s">
        <v>288</v>
      </c>
      <c r="BZ191" s="50" t="s">
        <v>287</v>
      </c>
      <c r="CA191" s="50"/>
      <c r="CB191" s="50" t="s">
        <v>287</v>
      </c>
      <c r="CC191" s="50" t="s">
        <v>287</v>
      </c>
      <c r="CD191" s="50" t="s">
        <v>287</v>
      </c>
      <c r="CE191" s="50"/>
      <c r="CF191" s="50" t="s">
        <v>287</v>
      </c>
      <c r="CG191" s="50" t="s">
        <v>287</v>
      </c>
      <c r="CH191" s="50" t="s">
        <v>486</v>
      </c>
      <c r="CI191" s="50" t="s">
        <v>287</v>
      </c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1:97" ht="36.75" customHeight="1" thickBot="1">
      <c r="A192" s="49">
        <v>46087.273414351854</v>
      </c>
      <c r="B192" s="50" t="s">
        <v>38</v>
      </c>
      <c r="C192" s="50" t="s">
        <v>45</v>
      </c>
      <c r="D192" s="50" t="s">
        <v>374</v>
      </c>
      <c r="E192" s="50" t="s">
        <v>64</v>
      </c>
      <c r="F192" s="50" t="s">
        <v>286</v>
      </c>
      <c r="G192" s="50" t="s">
        <v>74</v>
      </c>
      <c r="H192" s="50" t="s">
        <v>542</v>
      </c>
      <c r="I192" s="50" t="s">
        <v>92</v>
      </c>
      <c r="J192" s="50" t="s">
        <v>286</v>
      </c>
      <c r="K192" s="50" t="s">
        <v>287</v>
      </c>
      <c r="L192" s="50" t="s">
        <v>336</v>
      </c>
      <c r="M192" s="50" t="s">
        <v>316</v>
      </c>
      <c r="N192" s="111">
        <v>5</v>
      </c>
      <c r="O192" s="111">
        <v>5</v>
      </c>
      <c r="P192" s="111">
        <v>5</v>
      </c>
      <c r="Q192" s="111">
        <v>5</v>
      </c>
      <c r="R192" s="111">
        <v>5</v>
      </c>
      <c r="S192" s="111">
        <v>5</v>
      </c>
      <c r="T192" s="111">
        <v>5</v>
      </c>
      <c r="U192" s="111">
        <v>5</v>
      </c>
      <c r="V192" s="111">
        <v>5</v>
      </c>
      <c r="W192" s="111">
        <v>5</v>
      </c>
      <c r="X192" s="111">
        <v>5</v>
      </c>
      <c r="Y192" s="111">
        <v>5</v>
      </c>
      <c r="Z192" s="111">
        <v>5</v>
      </c>
      <c r="AA192" s="111">
        <v>5</v>
      </c>
      <c r="AB192" s="111">
        <v>5</v>
      </c>
      <c r="AC192" s="111">
        <v>5</v>
      </c>
      <c r="AD192" s="111">
        <v>5</v>
      </c>
      <c r="AE192" s="111">
        <v>5</v>
      </c>
      <c r="AF192" s="111">
        <v>5</v>
      </c>
      <c r="AG192" s="111">
        <v>5</v>
      </c>
      <c r="AH192" s="111">
        <v>5</v>
      </c>
      <c r="AI192" s="111">
        <v>5</v>
      </c>
      <c r="AJ192" s="111">
        <v>5</v>
      </c>
      <c r="AK192" s="111">
        <v>5</v>
      </c>
      <c r="AL192" s="111">
        <v>5</v>
      </c>
      <c r="AM192" s="111">
        <v>5</v>
      </c>
      <c r="AN192" s="111">
        <v>5</v>
      </c>
      <c r="AO192" s="111">
        <v>5</v>
      </c>
      <c r="AP192" s="111">
        <v>5</v>
      </c>
      <c r="AQ192" s="111">
        <v>5</v>
      </c>
      <c r="AR192" s="111">
        <v>5</v>
      </c>
      <c r="AS192" s="111">
        <v>5</v>
      </c>
      <c r="AT192" s="111">
        <v>5</v>
      </c>
      <c r="AU192" s="111">
        <v>5</v>
      </c>
      <c r="AV192" s="50" t="s">
        <v>199</v>
      </c>
      <c r="AW192" s="50" t="s">
        <v>199</v>
      </c>
      <c r="AX192" s="50" t="s">
        <v>199</v>
      </c>
      <c r="AY192" s="50" t="s">
        <v>200</v>
      </c>
      <c r="AZ192" s="50" t="s">
        <v>200</v>
      </c>
      <c r="BA192" s="50" t="s">
        <v>200</v>
      </c>
      <c r="BB192" s="50" t="s">
        <v>200</v>
      </c>
      <c r="BC192" s="50" t="s">
        <v>200</v>
      </c>
      <c r="BD192" s="50" t="s">
        <v>200</v>
      </c>
      <c r="BE192" s="50" t="s">
        <v>200</v>
      </c>
      <c r="BF192" s="50" t="s">
        <v>200</v>
      </c>
      <c r="BG192" s="50" t="s">
        <v>200</v>
      </c>
      <c r="BH192" s="50" t="s">
        <v>200</v>
      </c>
      <c r="BI192" s="50" t="s">
        <v>200</v>
      </c>
      <c r="BJ192" s="50" t="s">
        <v>200</v>
      </c>
      <c r="BK192" s="50" t="s">
        <v>200</v>
      </c>
      <c r="BL192" s="50" t="s">
        <v>200</v>
      </c>
      <c r="BM192" s="50" t="s">
        <v>436</v>
      </c>
      <c r="BN192" s="50" t="s">
        <v>318</v>
      </c>
      <c r="BO192" s="50" t="s">
        <v>91</v>
      </c>
      <c r="BP192" s="50" t="s">
        <v>286</v>
      </c>
      <c r="BQ192" s="50" t="s">
        <v>287</v>
      </c>
      <c r="BR192" s="50" t="s">
        <v>384</v>
      </c>
      <c r="BS192" s="111">
        <v>5</v>
      </c>
      <c r="BT192" s="50" t="s">
        <v>286</v>
      </c>
      <c r="BU192" s="50" t="s">
        <v>312</v>
      </c>
      <c r="BV192" s="50" t="s">
        <v>288</v>
      </c>
      <c r="BW192" s="50" t="s">
        <v>304</v>
      </c>
      <c r="BX192" s="50" t="s">
        <v>300</v>
      </c>
      <c r="BY192" s="50" t="s">
        <v>288</v>
      </c>
      <c r="BZ192" s="50" t="s">
        <v>287</v>
      </c>
      <c r="CA192" s="50"/>
      <c r="CB192" s="50" t="s">
        <v>287</v>
      </c>
      <c r="CC192" s="50" t="s">
        <v>287</v>
      </c>
      <c r="CD192" s="50" t="s">
        <v>287</v>
      </c>
      <c r="CE192" s="50"/>
      <c r="CF192" s="50" t="s">
        <v>287</v>
      </c>
      <c r="CG192" s="50" t="s">
        <v>287</v>
      </c>
      <c r="CH192" s="50" t="s">
        <v>486</v>
      </c>
      <c r="CI192" s="50" t="s">
        <v>287</v>
      </c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1:97" ht="36.75" customHeight="1" thickBot="1">
      <c r="A193" s="49">
        <v>46087.275706018518</v>
      </c>
      <c r="B193" s="50" t="s">
        <v>36</v>
      </c>
      <c r="C193" s="50" t="s">
        <v>46</v>
      </c>
      <c r="D193" s="50" t="s">
        <v>374</v>
      </c>
      <c r="E193" s="50" t="s">
        <v>64</v>
      </c>
      <c r="F193" s="50" t="s">
        <v>286</v>
      </c>
      <c r="G193" s="50" t="s">
        <v>74</v>
      </c>
      <c r="H193" s="50" t="s">
        <v>543</v>
      </c>
      <c r="I193" s="50" t="s">
        <v>92</v>
      </c>
      <c r="J193" s="50" t="s">
        <v>286</v>
      </c>
      <c r="K193" s="50" t="s">
        <v>287</v>
      </c>
      <c r="L193" s="50" t="s">
        <v>544</v>
      </c>
      <c r="M193" s="50" t="s">
        <v>316</v>
      </c>
      <c r="N193" s="111">
        <v>5</v>
      </c>
      <c r="O193" s="111">
        <v>5</v>
      </c>
      <c r="P193" s="111">
        <v>5</v>
      </c>
      <c r="Q193" s="111">
        <v>5</v>
      </c>
      <c r="R193" s="111">
        <v>5</v>
      </c>
      <c r="S193" s="111">
        <v>5</v>
      </c>
      <c r="T193" s="111">
        <v>5</v>
      </c>
      <c r="U193" s="111">
        <v>5</v>
      </c>
      <c r="V193" s="111">
        <v>5</v>
      </c>
      <c r="W193" s="111">
        <v>5</v>
      </c>
      <c r="X193" s="111">
        <v>5</v>
      </c>
      <c r="Y193" s="111">
        <v>5</v>
      </c>
      <c r="Z193" s="111">
        <v>5</v>
      </c>
      <c r="AA193" s="111">
        <v>5</v>
      </c>
      <c r="AB193" s="111">
        <v>5</v>
      </c>
      <c r="AC193" s="111">
        <v>5</v>
      </c>
      <c r="AD193" s="111">
        <v>5</v>
      </c>
      <c r="AE193" s="111">
        <v>5</v>
      </c>
      <c r="AF193" s="111">
        <v>5</v>
      </c>
      <c r="AG193" s="111">
        <v>5</v>
      </c>
      <c r="AH193" s="111">
        <v>5</v>
      </c>
      <c r="AI193" s="111">
        <v>5</v>
      </c>
      <c r="AJ193" s="111">
        <v>5</v>
      </c>
      <c r="AK193" s="111">
        <v>5</v>
      </c>
      <c r="AL193" s="111">
        <v>5</v>
      </c>
      <c r="AM193" s="111">
        <v>5</v>
      </c>
      <c r="AN193" s="111">
        <v>5</v>
      </c>
      <c r="AO193" s="111">
        <v>5</v>
      </c>
      <c r="AP193" s="111">
        <v>5</v>
      </c>
      <c r="AQ193" s="111">
        <v>5</v>
      </c>
      <c r="AR193" s="111">
        <v>5</v>
      </c>
      <c r="AS193" s="111">
        <v>5</v>
      </c>
      <c r="AT193" s="111">
        <v>5</v>
      </c>
      <c r="AU193" s="111">
        <v>5</v>
      </c>
      <c r="AV193" s="50" t="s">
        <v>199</v>
      </c>
      <c r="AW193" s="50" t="s">
        <v>199</v>
      </c>
      <c r="AX193" s="50" t="s">
        <v>199</v>
      </c>
      <c r="AY193" s="50" t="s">
        <v>200</v>
      </c>
      <c r="AZ193" s="50" t="s">
        <v>200</v>
      </c>
      <c r="BA193" s="50" t="s">
        <v>200</v>
      </c>
      <c r="BB193" s="50" t="s">
        <v>200</v>
      </c>
      <c r="BC193" s="50" t="s">
        <v>200</v>
      </c>
      <c r="BD193" s="50" t="s">
        <v>200</v>
      </c>
      <c r="BE193" s="50" t="s">
        <v>200</v>
      </c>
      <c r="BF193" s="50" t="s">
        <v>200</v>
      </c>
      <c r="BG193" s="50" t="s">
        <v>200</v>
      </c>
      <c r="BH193" s="50" t="s">
        <v>200</v>
      </c>
      <c r="BI193" s="50" t="s">
        <v>200</v>
      </c>
      <c r="BJ193" s="50" t="s">
        <v>200</v>
      </c>
      <c r="BK193" s="50" t="s">
        <v>200</v>
      </c>
      <c r="BL193" s="50" t="s">
        <v>200</v>
      </c>
      <c r="BM193" s="50" t="s">
        <v>436</v>
      </c>
      <c r="BN193" s="50" t="s">
        <v>318</v>
      </c>
      <c r="BO193" s="50" t="s">
        <v>91</v>
      </c>
      <c r="BP193" s="50" t="s">
        <v>286</v>
      </c>
      <c r="BQ193" s="50" t="s">
        <v>287</v>
      </c>
      <c r="BR193" s="50" t="s">
        <v>408</v>
      </c>
      <c r="BS193" s="111">
        <v>5</v>
      </c>
      <c r="BT193" s="50" t="s">
        <v>286</v>
      </c>
      <c r="BU193" s="50" t="s">
        <v>312</v>
      </c>
      <c r="BV193" s="50" t="s">
        <v>288</v>
      </c>
      <c r="BW193" s="50" t="s">
        <v>304</v>
      </c>
      <c r="BX193" s="50" t="s">
        <v>296</v>
      </c>
      <c r="BY193" s="50" t="s">
        <v>288</v>
      </c>
      <c r="BZ193" s="50" t="s">
        <v>287</v>
      </c>
      <c r="CA193" s="50"/>
      <c r="CB193" s="50" t="s">
        <v>287</v>
      </c>
      <c r="CC193" s="50" t="s">
        <v>287</v>
      </c>
      <c r="CD193" s="50" t="s">
        <v>287</v>
      </c>
      <c r="CE193" s="50"/>
      <c r="CF193" s="50" t="s">
        <v>287</v>
      </c>
      <c r="CG193" s="50" t="s">
        <v>287</v>
      </c>
      <c r="CH193" s="50" t="s">
        <v>486</v>
      </c>
      <c r="CI193" s="50" t="s">
        <v>287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1:97" ht="36.75" customHeight="1" thickBot="1">
      <c r="A194" s="49">
        <v>46087.27915509259</v>
      </c>
      <c r="B194" s="50" t="s">
        <v>40</v>
      </c>
      <c r="C194" s="50" t="s">
        <v>46</v>
      </c>
      <c r="D194" s="50" t="s">
        <v>374</v>
      </c>
      <c r="E194" s="50" t="s">
        <v>61</v>
      </c>
      <c r="F194" s="50" t="s">
        <v>286</v>
      </c>
      <c r="G194" s="50" t="s">
        <v>73</v>
      </c>
      <c r="H194" s="50" t="s">
        <v>545</v>
      </c>
      <c r="I194" s="50" t="s">
        <v>81</v>
      </c>
      <c r="J194" s="50" t="s">
        <v>286</v>
      </c>
      <c r="K194" s="50" t="s">
        <v>287</v>
      </c>
      <c r="L194" s="50" t="s">
        <v>336</v>
      </c>
      <c r="M194" s="50" t="s">
        <v>319</v>
      </c>
      <c r="N194" s="111">
        <v>5</v>
      </c>
      <c r="O194" s="111">
        <v>5</v>
      </c>
      <c r="P194" s="111">
        <v>5</v>
      </c>
      <c r="Q194" s="111">
        <v>5</v>
      </c>
      <c r="R194" s="111">
        <v>5</v>
      </c>
      <c r="S194" s="111">
        <v>5</v>
      </c>
      <c r="T194" s="111">
        <v>5</v>
      </c>
      <c r="U194" s="111">
        <v>5</v>
      </c>
      <c r="V194" s="111">
        <v>5</v>
      </c>
      <c r="W194" s="111">
        <v>5</v>
      </c>
      <c r="X194" s="111">
        <v>5</v>
      </c>
      <c r="Y194" s="111">
        <v>5</v>
      </c>
      <c r="Z194" s="111">
        <v>5</v>
      </c>
      <c r="AA194" s="111">
        <v>5</v>
      </c>
      <c r="AB194" s="111">
        <v>5</v>
      </c>
      <c r="AC194" s="111">
        <v>5</v>
      </c>
      <c r="AD194" s="111">
        <v>5</v>
      </c>
      <c r="AE194" s="111">
        <v>5</v>
      </c>
      <c r="AF194" s="111">
        <v>5</v>
      </c>
      <c r="AG194" s="111">
        <v>5</v>
      </c>
      <c r="AH194" s="111">
        <v>5</v>
      </c>
      <c r="AI194" s="111">
        <v>5</v>
      </c>
      <c r="AJ194" s="111">
        <v>5</v>
      </c>
      <c r="AK194" s="111">
        <v>5</v>
      </c>
      <c r="AL194" s="111">
        <v>5</v>
      </c>
      <c r="AM194" s="111">
        <v>5</v>
      </c>
      <c r="AN194" s="111">
        <v>5</v>
      </c>
      <c r="AO194" s="111">
        <v>5</v>
      </c>
      <c r="AP194" s="111">
        <v>5</v>
      </c>
      <c r="AQ194" s="111">
        <v>5</v>
      </c>
      <c r="AR194" s="111">
        <v>5</v>
      </c>
      <c r="AS194" s="111">
        <v>5</v>
      </c>
      <c r="AT194" s="111">
        <v>5</v>
      </c>
      <c r="AU194" s="111">
        <v>5</v>
      </c>
      <c r="AV194" s="50" t="s">
        <v>199</v>
      </c>
      <c r="AW194" s="50" t="s">
        <v>199</v>
      </c>
      <c r="AX194" s="50" t="s">
        <v>199</v>
      </c>
      <c r="AY194" s="50" t="s">
        <v>200</v>
      </c>
      <c r="AZ194" s="50" t="s">
        <v>200</v>
      </c>
      <c r="BA194" s="50" t="s">
        <v>200</v>
      </c>
      <c r="BB194" s="50" t="s">
        <v>200</v>
      </c>
      <c r="BC194" s="50" t="s">
        <v>200</v>
      </c>
      <c r="BD194" s="50" t="s">
        <v>200</v>
      </c>
      <c r="BE194" s="50" t="s">
        <v>200</v>
      </c>
      <c r="BF194" s="50" t="s">
        <v>200</v>
      </c>
      <c r="BG194" s="50" t="s">
        <v>200</v>
      </c>
      <c r="BH194" s="50" t="s">
        <v>200</v>
      </c>
      <c r="BI194" s="50" t="s">
        <v>200</v>
      </c>
      <c r="BJ194" s="50" t="s">
        <v>200</v>
      </c>
      <c r="BK194" s="50" t="s">
        <v>200</v>
      </c>
      <c r="BL194" s="50" t="s">
        <v>200</v>
      </c>
      <c r="BM194" s="50" t="s">
        <v>436</v>
      </c>
      <c r="BN194" s="50" t="s">
        <v>318</v>
      </c>
      <c r="BO194" s="50" t="s">
        <v>91</v>
      </c>
      <c r="BP194" s="50" t="s">
        <v>286</v>
      </c>
      <c r="BQ194" s="50" t="s">
        <v>287</v>
      </c>
      <c r="BR194" s="50" t="s">
        <v>403</v>
      </c>
      <c r="BS194" s="111">
        <v>5</v>
      </c>
      <c r="BT194" s="50" t="s">
        <v>286</v>
      </c>
      <c r="BU194" s="50" t="s">
        <v>312</v>
      </c>
      <c r="BV194" s="50" t="s">
        <v>288</v>
      </c>
      <c r="BW194" s="50" t="s">
        <v>303</v>
      </c>
      <c r="BX194" s="50" t="s">
        <v>300</v>
      </c>
      <c r="BY194" s="50" t="s">
        <v>288</v>
      </c>
      <c r="BZ194" s="50" t="s">
        <v>287</v>
      </c>
      <c r="CA194" s="50"/>
      <c r="CB194" s="50" t="s">
        <v>287</v>
      </c>
      <c r="CC194" s="50" t="s">
        <v>287</v>
      </c>
      <c r="CD194" s="50" t="s">
        <v>287</v>
      </c>
      <c r="CE194" s="50"/>
      <c r="CF194" s="50" t="s">
        <v>287</v>
      </c>
      <c r="CG194" s="50" t="s">
        <v>287</v>
      </c>
      <c r="CH194" s="50" t="s">
        <v>486</v>
      </c>
      <c r="CI194" s="50" t="s">
        <v>287</v>
      </c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1:97" ht="36.75" customHeight="1" thickBot="1">
      <c r="A195" s="49">
        <v>46087.281898148147</v>
      </c>
      <c r="B195" s="50" t="s">
        <v>40</v>
      </c>
      <c r="C195" s="50" t="s">
        <v>45</v>
      </c>
      <c r="D195" s="50" t="s">
        <v>374</v>
      </c>
      <c r="E195" s="50" t="s">
        <v>60</v>
      </c>
      <c r="F195" s="50" t="s">
        <v>286</v>
      </c>
      <c r="G195" s="50" t="s">
        <v>73</v>
      </c>
      <c r="H195" s="50" t="s">
        <v>442</v>
      </c>
      <c r="I195" s="50" t="s">
        <v>81</v>
      </c>
      <c r="J195" s="50" t="s">
        <v>286</v>
      </c>
      <c r="K195" s="50" t="s">
        <v>287</v>
      </c>
      <c r="L195" s="50" t="s">
        <v>336</v>
      </c>
      <c r="M195" s="50" t="s">
        <v>319</v>
      </c>
      <c r="N195" s="111">
        <v>5</v>
      </c>
      <c r="O195" s="111">
        <v>5</v>
      </c>
      <c r="P195" s="111">
        <v>5</v>
      </c>
      <c r="Q195" s="111">
        <v>5</v>
      </c>
      <c r="R195" s="111">
        <v>5</v>
      </c>
      <c r="S195" s="111">
        <v>5</v>
      </c>
      <c r="T195" s="111">
        <v>5</v>
      </c>
      <c r="U195" s="111">
        <v>5</v>
      </c>
      <c r="V195" s="111">
        <v>5</v>
      </c>
      <c r="W195" s="111">
        <v>5</v>
      </c>
      <c r="X195" s="111">
        <v>5</v>
      </c>
      <c r="Y195" s="111">
        <v>5</v>
      </c>
      <c r="Z195" s="111">
        <v>5</v>
      </c>
      <c r="AA195" s="111">
        <v>5</v>
      </c>
      <c r="AB195" s="111">
        <v>5</v>
      </c>
      <c r="AC195" s="111">
        <v>5</v>
      </c>
      <c r="AD195" s="111">
        <v>5</v>
      </c>
      <c r="AE195" s="111">
        <v>5</v>
      </c>
      <c r="AF195" s="111">
        <v>5</v>
      </c>
      <c r="AG195" s="111">
        <v>5</v>
      </c>
      <c r="AH195" s="111">
        <v>5</v>
      </c>
      <c r="AI195" s="111">
        <v>5</v>
      </c>
      <c r="AJ195" s="111">
        <v>5</v>
      </c>
      <c r="AK195" s="111">
        <v>5</v>
      </c>
      <c r="AL195" s="111">
        <v>5</v>
      </c>
      <c r="AM195" s="111">
        <v>5</v>
      </c>
      <c r="AN195" s="111">
        <v>5</v>
      </c>
      <c r="AO195" s="111">
        <v>5</v>
      </c>
      <c r="AP195" s="111">
        <v>5</v>
      </c>
      <c r="AQ195" s="111">
        <v>5</v>
      </c>
      <c r="AR195" s="111">
        <v>5</v>
      </c>
      <c r="AS195" s="111">
        <v>5</v>
      </c>
      <c r="AT195" s="111">
        <v>5</v>
      </c>
      <c r="AU195" s="111">
        <v>5</v>
      </c>
      <c r="AV195" s="50" t="s">
        <v>199</v>
      </c>
      <c r="AW195" s="50" t="s">
        <v>199</v>
      </c>
      <c r="AX195" s="50" t="s">
        <v>199</v>
      </c>
      <c r="AY195" s="50" t="s">
        <v>200</v>
      </c>
      <c r="AZ195" s="50" t="s">
        <v>200</v>
      </c>
      <c r="BA195" s="50" t="s">
        <v>200</v>
      </c>
      <c r="BB195" s="50" t="s">
        <v>200</v>
      </c>
      <c r="BC195" s="50" t="s">
        <v>200</v>
      </c>
      <c r="BD195" s="50" t="s">
        <v>200</v>
      </c>
      <c r="BE195" s="50" t="s">
        <v>200</v>
      </c>
      <c r="BF195" s="50" t="s">
        <v>200</v>
      </c>
      <c r="BG195" s="50" t="s">
        <v>200</v>
      </c>
      <c r="BH195" s="50" t="s">
        <v>200</v>
      </c>
      <c r="BI195" s="50" t="s">
        <v>200</v>
      </c>
      <c r="BJ195" s="50" t="s">
        <v>200</v>
      </c>
      <c r="BK195" s="50" t="s">
        <v>200</v>
      </c>
      <c r="BL195" s="50" t="s">
        <v>200</v>
      </c>
      <c r="BM195" s="50" t="s">
        <v>436</v>
      </c>
      <c r="BN195" s="50" t="s">
        <v>546</v>
      </c>
      <c r="BO195" s="50" t="s">
        <v>91</v>
      </c>
      <c r="BP195" s="50" t="s">
        <v>286</v>
      </c>
      <c r="BQ195" s="50" t="s">
        <v>287</v>
      </c>
      <c r="BR195" s="50" t="s">
        <v>403</v>
      </c>
      <c r="BS195" s="111">
        <v>5</v>
      </c>
      <c r="BT195" s="50" t="s">
        <v>286</v>
      </c>
      <c r="BU195" s="50" t="s">
        <v>312</v>
      </c>
      <c r="BV195" s="50" t="s">
        <v>288</v>
      </c>
      <c r="BW195" s="50" t="s">
        <v>289</v>
      </c>
      <c r="BX195" s="50" t="s">
        <v>296</v>
      </c>
      <c r="BY195" s="50" t="s">
        <v>288</v>
      </c>
      <c r="BZ195" s="50" t="s">
        <v>287</v>
      </c>
      <c r="CA195" s="50"/>
      <c r="CB195" s="50" t="s">
        <v>287</v>
      </c>
      <c r="CC195" s="50" t="s">
        <v>287</v>
      </c>
      <c r="CD195" s="50" t="s">
        <v>287</v>
      </c>
      <c r="CE195" s="50"/>
      <c r="CF195" s="50" t="s">
        <v>287</v>
      </c>
      <c r="CG195" s="50" t="s">
        <v>287</v>
      </c>
      <c r="CH195" s="50" t="s">
        <v>486</v>
      </c>
      <c r="CI195" s="50" t="s">
        <v>287</v>
      </c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1:97" ht="36.75" customHeight="1" thickBot="1">
      <c r="A196" s="49">
        <v>46087.284201388888</v>
      </c>
      <c r="B196" s="50" t="s">
        <v>40</v>
      </c>
      <c r="C196" s="50" t="s">
        <v>45</v>
      </c>
      <c r="D196" s="50" t="s">
        <v>374</v>
      </c>
      <c r="E196" s="50" t="s">
        <v>60</v>
      </c>
      <c r="F196" s="50" t="s">
        <v>286</v>
      </c>
      <c r="G196" s="50" t="s">
        <v>73</v>
      </c>
      <c r="H196" s="50" t="s">
        <v>314</v>
      </c>
      <c r="I196" s="50" t="s">
        <v>81</v>
      </c>
      <c r="J196" s="50" t="s">
        <v>286</v>
      </c>
      <c r="K196" s="50" t="s">
        <v>287</v>
      </c>
      <c r="L196" s="50" t="s">
        <v>336</v>
      </c>
      <c r="M196" s="50" t="s">
        <v>319</v>
      </c>
      <c r="N196" s="111">
        <v>5</v>
      </c>
      <c r="O196" s="111">
        <v>5</v>
      </c>
      <c r="P196" s="111">
        <v>5</v>
      </c>
      <c r="Q196" s="111">
        <v>5</v>
      </c>
      <c r="R196" s="111">
        <v>5</v>
      </c>
      <c r="S196" s="111">
        <v>5</v>
      </c>
      <c r="T196" s="111">
        <v>5</v>
      </c>
      <c r="U196" s="111">
        <v>5</v>
      </c>
      <c r="V196" s="111">
        <v>5</v>
      </c>
      <c r="W196" s="111">
        <v>5</v>
      </c>
      <c r="X196" s="111">
        <v>5</v>
      </c>
      <c r="Y196" s="111">
        <v>5</v>
      </c>
      <c r="Z196" s="111">
        <v>5</v>
      </c>
      <c r="AA196" s="111">
        <v>5</v>
      </c>
      <c r="AB196" s="111">
        <v>5</v>
      </c>
      <c r="AC196" s="111">
        <v>5</v>
      </c>
      <c r="AD196" s="111">
        <v>5</v>
      </c>
      <c r="AE196" s="111">
        <v>5</v>
      </c>
      <c r="AF196" s="111">
        <v>5</v>
      </c>
      <c r="AG196" s="111">
        <v>5</v>
      </c>
      <c r="AH196" s="111">
        <v>5</v>
      </c>
      <c r="AI196" s="111">
        <v>5</v>
      </c>
      <c r="AJ196" s="111">
        <v>5</v>
      </c>
      <c r="AK196" s="111">
        <v>5</v>
      </c>
      <c r="AL196" s="111">
        <v>5</v>
      </c>
      <c r="AM196" s="111">
        <v>5</v>
      </c>
      <c r="AN196" s="111">
        <v>5</v>
      </c>
      <c r="AO196" s="111">
        <v>5</v>
      </c>
      <c r="AP196" s="111">
        <v>5</v>
      </c>
      <c r="AQ196" s="111">
        <v>5</v>
      </c>
      <c r="AR196" s="111">
        <v>5</v>
      </c>
      <c r="AS196" s="111">
        <v>5</v>
      </c>
      <c r="AT196" s="111">
        <v>5</v>
      </c>
      <c r="AU196" s="111">
        <v>5</v>
      </c>
      <c r="AV196" s="50" t="s">
        <v>199</v>
      </c>
      <c r="AW196" s="50" t="s">
        <v>199</v>
      </c>
      <c r="AX196" s="50" t="s">
        <v>199</v>
      </c>
      <c r="AY196" s="50" t="s">
        <v>200</v>
      </c>
      <c r="AZ196" s="50" t="s">
        <v>200</v>
      </c>
      <c r="BA196" s="50" t="s">
        <v>200</v>
      </c>
      <c r="BB196" s="50" t="s">
        <v>200</v>
      </c>
      <c r="BC196" s="50" t="s">
        <v>200</v>
      </c>
      <c r="BD196" s="50" t="s">
        <v>200</v>
      </c>
      <c r="BE196" s="50" t="s">
        <v>200</v>
      </c>
      <c r="BF196" s="50" t="s">
        <v>200</v>
      </c>
      <c r="BG196" s="50" t="s">
        <v>200</v>
      </c>
      <c r="BH196" s="50" t="s">
        <v>200</v>
      </c>
      <c r="BI196" s="50" t="s">
        <v>200</v>
      </c>
      <c r="BJ196" s="50" t="s">
        <v>200</v>
      </c>
      <c r="BK196" s="50" t="s">
        <v>200</v>
      </c>
      <c r="BL196" s="50" t="s">
        <v>200</v>
      </c>
      <c r="BM196" s="50" t="s">
        <v>436</v>
      </c>
      <c r="BN196" s="50" t="s">
        <v>318</v>
      </c>
      <c r="BO196" s="50" t="s">
        <v>91</v>
      </c>
      <c r="BP196" s="50" t="s">
        <v>286</v>
      </c>
      <c r="BQ196" s="50" t="s">
        <v>287</v>
      </c>
      <c r="BR196" s="50" t="s">
        <v>403</v>
      </c>
      <c r="BS196" s="111">
        <v>5</v>
      </c>
      <c r="BT196" s="50" t="s">
        <v>286</v>
      </c>
      <c r="BU196" s="50" t="s">
        <v>312</v>
      </c>
      <c r="BV196" s="50" t="s">
        <v>288</v>
      </c>
      <c r="BW196" s="50" t="s">
        <v>297</v>
      </c>
      <c r="BX196" s="50" t="s">
        <v>300</v>
      </c>
      <c r="BY196" s="50" t="s">
        <v>288</v>
      </c>
      <c r="BZ196" s="50" t="s">
        <v>287</v>
      </c>
      <c r="CA196" s="50"/>
      <c r="CB196" s="50" t="s">
        <v>287</v>
      </c>
      <c r="CC196" s="50" t="s">
        <v>287</v>
      </c>
      <c r="CD196" s="50" t="s">
        <v>287</v>
      </c>
      <c r="CE196" s="50"/>
      <c r="CF196" s="50" t="s">
        <v>287</v>
      </c>
      <c r="CG196" s="50" t="s">
        <v>287</v>
      </c>
      <c r="CH196" s="50" t="s">
        <v>486</v>
      </c>
      <c r="CI196" s="50" t="s">
        <v>287</v>
      </c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1:97" ht="36.75" customHeight="1" thickBot="1">
      <c r="A197" s="49">
        <v>46087.286932870367</v>
      </c>
      <c r="B197" s="50" t="s">
        <v>40</v>
      </c>
      <c r="C197" s="50" t="s">
        <v>45</v>
      </c>
      <c r="D197" s="50" t="s">
        <v>369</v>
      </c>
      <c r="E197" s="50" t="s">
        <v>61</v>
      </c>
      <c r="F197" s="50" t="s">
        <v>286</v>
      </c>
      <c r="G197" s="50" t="s">
        <v>73</v>
      </c>
      <c r="H197" s="50" t="s">
        <v>327</v>
      </c>
      <c r="I197" s="50" t="s">
        <v>81</v>
      </c>
      <c r="J197" s="50" t="s">
        <v>286</v>
      </c>
      <c r="K197" s="50" t="s">
        <v>287</v>
      </c>
      <c r="L197" s="50" t="s">
        <v>547</v>
      </c>
      <c r="M197" s="50" t="s">
        <v>319</v>
      </c>
      <c r="N197" s="111">
        <v>5</v>
      </c>
      <c r="O197" s="111">
        <v>5</v>
      </c>
      <c r="P197" s="111">
        <v>5</v>
      </c>
      <c r="Q197" s="111">
        <v>5</v>
      </c>
      <c r="R197" s="111">
        <v>5</v>
      </c>
      <c r="S197" s="111">
        <v>5</v>
      </c>
      <c r="T197" s="111">
        <v>5</v>
      </c>
      <c r="U197" s="111">
        <v>5</v>
      </c>
      <c r="V197" s="111">
        <v>5</v>
      </c>
      <c r="W197" s="111">
        <v>5</v>
      </c>
      <c r="X197" s="111">
        <v>5</v>
      </c>
      <c r="Y197" s="111">
        <v>5</v>
      </c>
      <c r="Z197" s="111">
        <v>5</v>
      </c>
      <c r="AA197" s="111">
        <v>5</v>
      </c>
      <c r="AB197" s="111">
        <v>5</v>
      </c>
      <c r="AC197" s="111">
        <v>5</v>
      </c>
      <c r="AD197" s="111">
        <v>5</v>
      </c>
      <c r="AE197" s="111">
        <v>5</v>
      </c>
      <c r="AF197" s="111">
        <v>5</v>
      </c>
      <c r="AG197" s="111">
        <v>5</v>
      </c>
      <c r="AH197" s="111">
        <v>5</v>
      </c>
      <c r="AI197" s="111">
        <v>5</v>
      </c>
      <c r="AJ197" s="111">
        <v>5</v>
      </c>
      <c r="AK197" s="111">
        <v>5</v>
      </c>
      <c r="AL197" s="111">
        <v>5</v>
      </c>
      <c r="AM197" s="111">
        <v>5</v>
      </c>
      <c r="AN197" s="111">
        <v>5</v>
      </c>
      <c r="AO197" s="111">
        <v>5</v>
      </c>
      <c r="AP197" s="111">
        <v>5</v>
      </c>
      <c r="AQ197" s="111">
        <v>5</v>
      </c>
      <c r="AR197" s="111">
        <v>5</v>
      </c>
      <c r="AS197" s="111">
        <v>5</v>
      </c>
      <c r="AT197" s="111">
        <v>5</v>
      </c>
      <c r="AU197" s="111">
        <v>5</v>
      </c>
      <c r="AV197" s="50" t="s">
        <v>199</v>
      </c>
      <c r="AW197" s="50" t="s">
        <v>199</v>
      </c>
      <c r="AX197" s="50" t="s">
        <v>199</v>
      </c>
      <c r="AY197" s="50" t="s">
        <v>200</v>
      </c>
      <c r="AZ197" s="50" t="s">
        <v>200</v>
      </c>
      <c r="BA197" s="50" t="s">
        <v>200</v>
      </c>
      <c r="BB197" s="50" t="s">
        <v>200</v>
      </c>
      <c r="BC197" s="50" t="s">
        <v>200</v>
      </c>
      <c r="BD197" s="50" t="s">
        <v>200</v>
      </c>
      <c r="BE197" s="50" t="s">
        <v>200</v>
      </c>
      <c r="BF197" s="50" t="s">
        <v>200</v>
      </c>
      <c r="BG197" s="50" t="s">
        <v>200</v>
      </c>
      <c r="BH197" s="50" t="s">
        <v>200</v>
      </c>
      <c r="BI197" s="50" t="s">
        <v>200</v>
      </c>
      <c r="BJ197" s="50" t="s">
        <v>200</v>
      </c>
      <c r="BK197" s="50" t="s">
        <v>200</v>
      </c>
      <c r="BL197" s="50" t="s">
        <v>200</v>
      </c>
      <c r="BM197" s="50" t="s">
        <v>436</v>
      </c>
      <c r="BN197" s="50" t="s">
        <v>318</v>
      </c>
      <c r="BO197" s="50" t="s">
        <v>91</v>
      </c>
      <c r="BP197" s="50" t="s">
        <v>286</v>
      </c>
      <c r="BQ197" s="50" t="s">
        <v>287</v>
      </c>
      <c r="BR197" s="50" t="s">
        <v>382</v>
      </c>
      <c r="BS197" s="111">
        <v>5</v>
      </c>
      <c r="BT197" s="50" t="s">
        <v>286</v>
      </c>
      <c r="BU197" s="50" t="s">
        <v>312</v>
      </c>
      <c r="BV197" s="50" t="s">
        <v>288</v>
      </c>
      <c r="BW197" s="50" t="s">
        <v>303</v>
      </c>
      <c r="BX197" s="50" t="s">
        <v>296</v>
      </c>
      <c r="BY197" s="50" t="s">
        <v>288</v>
      </c>
      <c r="BZ197" s="50" t="s">
        <v>287</v>
      </c>
      <c r="CA197" s="50"/>
      <c r="CB197" s="50" t="s">
        <v>287</v>
      </c>
      <c r="CC197" s="50" t="s">
        <v>287</v>
      </c>
      <c r="CD197" s="50" t="s">
        <v>287</v>
      </c>
      <c r="CE197" s="50"/>
      <c r="CF197" s="50" t="s">
        <v>287</v>
      </c>
      <c r="CG197" s="50" t="s">
        <v>287</v>
      </c>
      <c r="CH197" s="50" t="s">
        <v>486</v>
      </c>
      <c r="CI197" s="50" t="s">
        <v>287</v>
      </c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1:97" ht="36.75" customHeight="1" thickBot="1">
      <c r="A198" s="49">
        <v>46087.289884259262</v>
      </c>
      <c r="B198" s="50" t="s">
        <v>40</v>
      </c>
      <c r="C198" s="50" t="s">
        <v>45</v>
      </c>
      <c r="D198" s="50" t="s">
        <v>374</v>
      </c>
      <c r="E198" s="50" t="s">
        <v>61</v>
      </c>
      <c r="F198" s="50" t="s">
        <v>286</v>
      </c>
      <c r="G198" s="50" t="s">
        <v>73</v>
      </c>
      <c r="H198" s="50" t="s">
        <v>363</v>
      </c>
      <c r="I198" s="50" t="s">
        <v>81</v>
      </c>
      <c r="J198" s="50" t="s">
        <v>286</v>
      </c>
      <c r="K198" s="50" t="s">
        <v>287</v>
      </c>
      <c r="L198" s="50" t="s">
        <v>548</v>
      </c>
      <c r="M198" s="50" t="s">
        <v>319</v>
      </c>
      <c r="N198" s="111">
        <v>5</v>
      </c>
      <c r="O198" s="111">
        <v>5</v>
      </c>
      <c r="P198" s="111">
        <v>5</v>
      </c>
      <c r="Q198" s="111">
        <v>5</v>
      </c>
      <c r="R198" s="111">
        <v>5</v>
      </c>
      <c r="S198" s="111">
        <v>5</v>
      </c>
      <c r="T198" s="111">
        <v>5</v>
      </c>
      <c r="U198" s="111">
        <v>5</v>
      </c>
      <c r="V198" s="111">
        <v>5</v>
      </c>
      <c r="W198" s="111">
        <v>5</v>
      </c>
      <c r="X198" s="111">
        <v>5</v>
      </c>
      <c r="Y198" s="111">
        <v>5</v>
      </c>
      <c r="Z198" s="111">
        <v>5</v>
      </c>
      <c r="AA198" s="111">
        <v>5</v>
      </c>
      <c r="AB198" s="111">
        <v>5</v>
      </c>
      <c r="AC198" s="111">
        <v>5</v>
      </c>
      <c r="AD198" s="111">
        <v>5</v>
      </c>
      <c r="AE198" s="111">
        <v>5</v>
      </c>
      <c r="AF198" s="111">
        <v>5</v>
      </c>
      <c r="AG198" s="111">
        <v>5</v>
      </c>
      <c r="AH198" s="111">
        <v>5</v>
      </c>
      <c r="AI198" s="111">
        <v>5</v>
      </c>
      <c r="AJ198" s="111">
        <v>5</v>
      </c>
      <c r="AK198" s="111">
        <v>5</v>
      </c>
      <c r="AL198" s="111">
        <v>5</v>
      </c>
      <c r="AM198" s="111">
        <v>5</v>
      </c>
      <c r="AN198" s="111">
        <v>5</v>
      </c>
      <c r="AO198" s="111">
        <v>5</v>
      </c>
      <c r="AP198" s="111">
        <v>5</v>
      </c>
      <c r="AQ198" s="111">
        <v>5</v>
      </c>
      <c r="AR198" s="111">
        <v>5</v>
      </c>
      <c r="AS198" s="111">
        <v>5</v>
      </c>
      <c r="AT198" s="111">
        <v>5</v>
      </c>
      <c r="AU198" s="111">
        <v>5</v>
      </c>
      <c r="AV198" s="50" t="s">
        <v>199</v>
      </c>
      <c r="AW198" s="50" t="s">
        <v>199</v>
      </c>
      <c r="AX198" s="50" t="s">
        <v>199</v>
      </c>
      <c r="AY198" s="50" t="s">
        <v>200</v>
      </c>
      <c r="AZ198" s="50" t="s">
        <v>200</v>
      </c>
      <c r="BA198" s="50" t="s">
        <v>200</v>
      </c>
      <c r="BB198" s="50" t="s">
        <v>200</v>
      </c>
      <c r="BC198" s="50" t="s">
        <v>200</v>
      </c>
      <c r="BD198" s="50" t="s">
        <v>200</v>
      </c>
      <c r="BE198" s="50" t="s">
        <v>200</v>
      </c>
      <c r="BF198" s="50" t="s">
        <v>200</v>
      </c>
      <c r="BG198" s="50" t="s">
        <v>200</v>
      </c>
      <c r="BH198" s="50" t="s">
        <v>200</v>
      </c>
      <c r="BI198" s="50" t="s">
        <v>200</v>
      </c>
      <c r="BJ198" s="50" t="s">
        <v>200</v>
      </c>
      <c r="BK198" s="50" t="s">
        <v>200</v>
      </c>
      <c r="BL198" s="50" t="s">
        <v>200</v>
      </c>
      <c r="BM198" s="50" t="s">
        <v>436</v>
      </c>
      <c r="BN198" s="50" t="s">
        <v>318</v>
      </c>
      <c r="BO198" s="50" t="s">
        <v>91</v>
      </c>
      <c r="BP198" s="50" t="s">
        <v>286</v>
      </c>
      <c r="BQ198" s="50" t="s">
        <v>287</v>
      </c>
      <c r="BR198" s="50" t="s">
        <v>403</v>
      </c>
      <c r="BS198" s="111">
        <v>5</v>
      </c>
      <c r="BT198" s="50" t="s">
        <v>286</v>
      </c>
      <c r="BU198" s="50" t="s">
        <v>312</v>
      </c>
      <c r="BV198" s="50" t="s">
        <v>288</v>
      </c>
      <c r="BW198" s="50"/>
      <c r="BX198" s="50" t="s">
        <v>300</v>
      </c>
      <c r="BY198" s="50" t="s">
        <v>288</v>
      </c>
      <c r="BZ198" s="50" t="s">
        <v>287</v>
      </c>
      <c r="CA198" s="50"/>
      <c r="CB198" s="50" t="s">
        <v>287</v>
      </c>
      <c r="CC198" s="50" t="s">
        <v>287</v>
      </c>
      <c r="CD198" s="50" t="s">
        <v>287</v>
      </c>
      <c r="CE198" s="50"/>
      <c r="CF198" s="50" t="s">
        <v>287</v>
      </c>
      <c r="CG198" s="50" t="s">
        <v>287</v>
      </c>
      <c r="CH198" s="50" t="s">
        <v>486</v>
      </c>
      <c r="CI198" s="50" t="s">
        <v>287</v>
      </c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1:97" ht="36.75" customHeight="1" thickBot="1">
      <c r="A199" s="49">
        <v>46087.31486111111</v>
      </c>
      <c r="B199" s="50" t="s">
        <v>39</v>
      </c>
      <c r="C199" s="50" t="s">
        <v>45</v>
      </c>
      <c r="D199" s="50" t="s">
        <v>369</v>
      </c>
      <c r="E199" s="50" t="s">
        <v>61</v>
      </c>
      <c r="F199" s="50" t="s">
        <v>286</v>
      </c>
      <c r="G199" s="50" t="s">
        <v>73</v>
      </c>
      <c r="H199" s="50" t="s">
        <v>321</v>
      </c>
      <c r="I199" s="50" t="s">
        <v>91</v>
      </c>
      <c r="J199" s="50" t="s">
        <v>286</v>
      </c>
      <c r="K199" s="50" t="s">
        <v>291</v>
      </c>
      <c r="L199" s="50" t="s">
        <v>286</v>
      </c>
      <c r="M199" s="50" t="s">
        <v>370</v>
      </c>
      <c r="N199" s="111">
        <v>5</v>
      </c>
      <c r="O199" s="111">
        <v>5</v>
      </c>
      <c r="P199" s="111">
        <v>5</v>
      </c>
      <c r="Q199" s="111">
        <v>5</v>
      </c>
      <c r="R199" s="111">
        <v>6</v>
      </c>
      <c r="S199" s="111">
        <v>6</v>
      </c>
      <c r="T199" s="111">
        <v>5</v>
      </c>
      <c r="U199" s="111">
        <v>5</v>
      </c>
      <c r="V199" s="111">
        <v>6</v>
      </c>
      <c r="W199" s="111">
        <v>6</v>
      </c>
      <c r="X199" s="111">
        <v>6</v>
      </c>
      <c r="Y199" s="111">
        <v>6</v>
      </c>
      <c r="Z199" s="111">
        <v>6</v>
      </c>
      <c r="AA199" s="111">
        <v>6</v>
      </c>
      <c r="AB199" s="111">
        <v>6</v>
      </c>
      <c r="AC199" s="111">
        <v>5</v>
      </c>
      <c r="AD199" s="111">
        <v>5</v>
      </c>
      <c r="AE199" s="111">
        <v>5</v>
      </c>
      <c r="AF199" s="111">
        <v>5</v>
      </c>
      <c r="AG199" s="111">
        <v>5</v>
      </c>
      <c r="AH199" s="111">
        <v>5</v>
      </c>
      <c r="AI199" s="111">
        <v>5</v>
      </c>
      <c r="AJ199" s="111">
        <v>5</v>
      </c>
      <c r="AK199" s="111">
        <v>5</v>
      </c>
      <c r="AL199" s="111">
        <v>5</v>
      </c>
      <c r="AM199" s="111">
        <v>5</v>
      </c>
      <c r="AN199" s="111">
        <v>5</v>
      </c>
      <c r="AO199" s="111">
        <v>5</v>
      </c>
      <c r="AP199" s="111">
        <v>5</v>
      </c>
      <c r="AQ199" s="111">
        <v>6</v>
      </c>
      <c r="AR199" s="111">
        <v>5</v>
      </c>
      <c r="AS199" s="111">
        <v>5</v>
      </c>
      <c r="AT199" s="111">
        <v>5</v>
      </c>
      <c r="AU199" s="111">
        <v>5</v>
      </c>
      <c r="AV199" s="50" t="s">
        <v>202</v>
      </c>
      <c r="AW199" s="50" t="s">
        <v>201</v>
      </c>
      <c r="AX199" s="50" t="s">
        <v>201</v>
      </c>
      <c r="AY199" s="50" t="s">
        <v>199</v>
      </c>
      <c r="AZ199" s="50" t="s">
        <v>202</v>
      </c>
      <c r="BA199" s="50" t="s">
        <v>199</v>
      </c>
      <c r="BB199" s="50" t="s">
        <v>202</v>
      </c>
      <c r="BC199" s="50" t="s">
        <v>202</v>
      </c>
      <c r="BD199" s="50" t="s">
        <v>202</v>
      </c>
      <c r="BE199" s="50" t="s">
        <v>202</v>
      </c>
      <c r="BF199" s="50" t="s">
        <v>201</v>
      </c>
      <c r="BG199" s="50" t="s">
        <v>202</v>
      </c>
      <c r="BH199" s="50" t="s">
        <v>200</v>
      </c>
      <c r="BI199" s="50" t="s">
        <v>202</v>
      </c>
      <c r="BJ199" s="50" t="s">
        <v>202</v>
      </c>
      <c r="BK199" s="50" t="s">
        <v>202</v>
      </c>
      <c r="BL199" s="50" t="s">
        <v>202</v>
      </c>
      <c r="BM199" s="50" t="s">
        <v>436</v>
      </c>
      <c r="BN199" s="50" t="s">
        <v>480</v>
      </c>
      <c r="BO199" s="50" t="s">
        <v>91</v>
      </c>
      <c r="BP199" s="50" t="s">
        <v>286</v>
      </c>
      <c r="BQ199" s="50" t="s">
        <v>287</v>
      </c>
      <c r="BR199" s="50" t="s">
        <v>372</v>
      </c>
      <c r="BS199" s="111">
        <v>5</v>
      </c>
      <c r="BT199" s="50" t="s">
        <v>286</v>
      </c>
      <c r="BU199" s="50" t="s">
        <v>348</v>
      </c>
      <c r="BV199" s="50" t="s">
        <v>288</v>
      </c>
      <c r="BW199" s="50" t="s">
        <v>350</v>
      </c>
      <c r="BX199" s="50" t="s">
        <v>387</v>
      </c>
      <c r="BY199" s="50" t="s">
        <v>288</v>
      </c>
      <c r="BZ199" s="50" t="s">
        <v>287</v>
      </c>
      <c r="CA199" s="50"/>
      <c r="CB199" s="50" t="s">
        <v>287</v>
      </c>
      <c r="CC199" s="50" t="s">
        <v>287</v>
      </c>
      <c r="CD199" s="50" t="s">
        <v>287</v>
      </c>
      <c r="CE199" s="50"/>
      <c r="CF199" s="50" t="s">
        <v>287</v>
      </c>
      <c r="CG199" s="50" t="s">
        <v>287</v>
      </c>
      <c r="CH199" s="50" t="s">
        <v>486</v>
      </c>
      <c r="CI199" s="50" t="s">
        <v>287</v>
      </c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1:97" ht="36.75" customHeight="1" thickBot="1">
      <c r="A200" s="49">
        <v>46087.319537037038</v>
      </c>
      <c r="B200" s="50" t="s">
        <v>40</v>
      </c>
      <c r="C200" s="50" t="s">
        <v>45</v>
      </c>
      <c r="D200" s="50" t="s">
        <v>369</v>
      </c>
      <c r="E200" s="50" t="s">
        <v>285</v>
      </c>
      <c r="F200" s="50" t="s">
        <v>286</v>
      </c>
      <c r="G200" s="50" t="s">
        <v>74</v>
      </c>
      <c r="H200" s="50" t="s">
        <v>518</v>
      </c>
      <c r="I200" s="50" t="s">
        <v>81</v>
      </c>
      <c r="J200" s="50" t="s">
        <v>286</v>
      </c>
      <c r="K200" s="50" t="s">
        <v>287</v>
      </c>
      <c r="L200" s="50" t="s">
        <v>379</v>
      </c>
      <c r="M200" s="50" t="s">
        <v>370</v>
      </c>
      <c r="N200" s="111">
        <v>5</v>
      </c>
      <c r="O200" s="111">
        <v>5</v>
      </c>
      <c r="P200" s="111">
        <v>5</v>
      </c>
      <c r="Q200" s="111">
        <v>6</v>
      </c>
      <c r="R200" s="111">
        <v>6</v>
      </c>
      <c r="S200" s="111">
        <v>6</v>
      </c>
      <c r="T200" s="111">
        <v>5</v>
      </c>
      <c r="U200" s="111">
        <v>5</v>
      </c>
      <c r="V200" s="111">
        <v>6</v>
      </c>
      <c r="W200" s="111">
        <v>6</v>
      </c>
      <c r="X200" s="111">
        <v>6</v>
      </c>
      <c r="Y200" s="111">
        <v>6</v>
      </c>
      <c r="Z200" s="111">
        <v>6</v>
      </c>
      <c r="AA200" s="111">
        <v>6</v>
      </c>
      <c r="AB200" s="111">
        <v>6</v>
      </c>
      <c r="AC200" s="111">
        <v>5</v>
      </c>
      <c r="AD200" s="111">
        <v>5</v>
      </c>
      <c r="AE200" s="111">
        <v>5</v>
      </c>
      <c r="AF200" s="111">
        <v>5</v>
      </c>
      <c r="AG200" s="111">
        <v>5</v>
      </c>
      <c r="AH200" s="111">
        <v>5</v>
      </c>
      <c r="AI200" s="111">
        <v>5</v>
      </c>
      <c r="AJ200" s="111">
        <v>5</v>
      </c>
      <c r="AK200" s="111">
        <v>5</v>
      </c>
      <c r="AL200" s="111">
        <v>5</v>
      </c>
      <c r="AM200" s="111">
        <v>5</v>
      </c>
      <c r="AN200" s="111">
        <v>5</v>
      </c>
      <c r="AO200" s="111">
        <v>5</v>
      </c>
      <c r="AP200" s="111">
        <v>5</v>
      </c>
      <c r="AQ200" s="111">
        <v>6</v>
      </c>
      <c r="AR200" s="111">
        <v>5</v>
      </c>
      <c r="AS200" s="111">
        <v>5</v>
      </c>
      <c r="AT200" s="111">
        <v>5</v>
      </c>
      <c r="AU200" s="111">
        <v>5</v>
      </c>
      <c r="AV200" s="50" t="s">
        <v>202</v>
      </c>
      <c r="AW200" s="50" t="s">
        <v>200</v>
      </c>
      <c r="AX200" s="50" t="s">
        <v>201</v>
      </c>
      <c r="AY200" s="50" t="s">
        <v>199</v>
      </c>
      <c r="AZ200" s="50" t="s">
        <v>202</v>
      </c>
      <c r="BA200" s="50" t="s">
        <v>199</v>
      </c>
      <c r="BB200" s="50" t="s">
        <v>202</v>
      </c>
      <c r="BC200" s="50" t="s">
        <v>202</v>
      </c>
      <c r="BD200" s="50" t="s">
        <v>202</v>
      </c>
      <c r="BE200" s="50" t="s">
        <v>200</v>
      </c>
      <c r="BF200" s="50" t="s">
        <v>201</v>
      </c>
      <c r="BG200" s="50" t="s">
        <v>202</v>
      </c>
      <c r="BH200" s="50" t="s">
        <v>201</v>
      </c>
      <c r="BI200" s="50" t="s">
        <v>202</v>
      </c>
      <c r="BJ200" s="50" t="s">
        <v>202</v>
      </c>
      <c r="BK200" s="50" t="s">
        <v>202</v>
      </c>
      <c r="BL200" s="50" t="s">
        <v>202</v>
      </c>
      <c r="BM200" s="50" t="s">
        <v>436</v>
      </c>
      <c r="BN200" s="50" t="s">
        <v>388</v>
      </c>
      <c r="BO200" s="50" t="s">
        <v>91</v>
      </c>
      <c r="BP200" s="50" t="s">
        <v>286</v>
      </c>
      <c r="BQ200" s="50" t="s">
        <v>287</v>
      </c>
      <c r="BR200" s="50" t="s">
        <v>372</v>
      </c>
      <c r="BS200" s="111">
        <v>5</v>
      </c>
      <c r="BT200" s="50" t="s">
        <v>286</v>
      </c>
      <c r="BU200" s="50" t="s">
        <v>348</v>
      </c>
      <c r="BV200" s="50" t="s">
        <v>288</v>
      </c>
      <c r="BW200" s="50" t="s">
        <v>350</v>
      </c>
      <c r="BX200" s="50" t="s">
        <v>387</v>
      </c>
      <c r="BY200" s="50" t="s">
        <v>288</v>
      </c>
      <c r="BZ200" s="50" t="s">
        <v>287</v>
      </c>
      <c r="CA200" s="50"/>
      <c r="CB200" s="50" t="s">
        <v>287</v>
      </c>
      <c r="CC200" s="50" t="s">
        <v>287</v>
      </c>
      <c r="CD200" s="50" t="s">
        <v>287</v>
      </c>
      <c r="CE200" s="50"/>
      <c r="CF200" s="50" t="s">
        <v>287</v>
      </c>
      <c r="CG200" s="50" t="s">
        <v>287</v>
      </c>
      <c r="CH200" s="50" t="s">
        <v>486</v>
      </c>
      <c r="CI200" s="50" t="s">
        <v>287</v>
      </c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1:97" ht="36.75" customHeight="1" thickBot="1">
      <c r="A201" s="49">
        <v>46087.329386574071</v>
      </c>
      <c r="B201" s="50" t="s">
        <v>40</v>
      </c>
      <c r="C201" s="50" t="s">
        <v>45</v>
      </c>
      <c r="D201" s="50" t="s">
        <v>374</v>
      </c>
      <c r="E201" s="50" t="s">
        <v>61</v>
      </c>
      <c r="F201" s="50" t="s">
        <v>286</v>
      </c>
      <c r="G201" s="50" t="s">
        <v>73</v>
      </c>
      <c r="H201" s="50" t="s">
        <v>549</v>
      </c>
      <c r="I201" s="50" t="s">
        <v>81</v>
      </c>
      <c r="J201" s="50" t="s">
        <v>286</v>
      </c>
      <c r="K201" s="50" t="s">
        <v>287</v>
      </c>
      <c r="L201" s="50" t="s">
        <v>336</v>
      </c>
      <c r="M201" s="50" t="s">
        <v>7</v>
      </c>
      <c r="N201" s="111">
        <v>5</v>
      </c>
      <c r="O201" s="111">
        <v>5</v>
      </c>
      <c r="P201" s="111">
        <v>5</v>
      </c>
      <c r="Q201" s="111">
        <v>5</v>
      </c>
      <c r="R201" s="111">
        <v>5</v>
      </c>
      <c r="S201" s="111">
        <v>5</v>
      </c>
      <c r="T201" s="111">
        <v>5</v>
      </c>
      <c r="U201" s="111">
        <v>5</v>
      </c>
      <c r="V201" s="111">
        <v>5</v>
      </c>
      <c r="W201" s="111">
        <v>5</v>
      </c>
      <c r="X201" s="111">
        <v>5</v>
      </c>
      <c r="Y201" s="111">
        <v>5</v>
      </c>
      <c r="Z201" s="111">
        <v>5</v>
      </c>
      <c r="AA201" s="111">
        <v>5</v>
      </c>
      <c r="AB201" s="111">
        <v>5</v>
      </c>
      <c r="AC201" s="111">
        <v>5</v>
      </c>
      <c r="AD201" s="111">
        <v>5</v>
      </c>
      <c r="AE201" s="111">
        <v>5</v>
      </c>
      <c r="AF201" s="111">
        <v>5</v>
      </c>
      <c r="AG201" s="111">
        <v>5</v>
      </c>
      <c r="AH201" s="111">
        <v>5</v>
      </c>
      <c r="AI201" s="111">
        <v>5</v>
      </c>
      <c r="AJ201" s="111">
        <v>5</v>
      </c>
      <c r="AK201" s="111">
        <v>5</v>
      </c>
      <c r="AL201" s="111">
        <v>5</v>
      </c>
      <c r="AM201" s="111">
        <v>5</v>
      </c>
      <c r="AN201" s="111">
        <v>5</v>
      </c>
      <c r="AO201" s="111">
        <v>5</v>
      </c>
      <c r="AP201" s="111">
        <v>5</v>
      </c>
      <c r="AQ201" s="111">
        <v>5</v>
      </c>
      <c r="AR201" s="111">
        <v>5</v>
      </c>
      <c r="AS201" s="111">
        <v>5</v>
      </c>
      <c r="AT201" s="111">
        <v>5</v>
      </c>
      <c r="AU201" s="111">
        <v>5</v>
      </c>
      <c r="AV201" s="50" t="s">
        <v>199</v>
      </c>
      <c r="AW201" s="50" t="s">
        <v>199</v>
      </c>
      <c r="AX201" s="50" t="s">
        <v>199</v>
      </c>
      <c r="AY201" s="50" t="s">
        <v>200</v>
      </c>
      <c r="AZ201" s="50" t="s">
        <v>200</v>
      </c>
      <c r="BA201" s="50" t="s">
        <v>200</v>
      </c>
      <c r="BB201" s="50" t="s">
        <v>200</v>
      </c>
      <c r="BC201" s="50" t="s">
        <v>200</v>
      </c>
      <c r="BD201" s="50" t="s">
        <v>200</v>
      </c>
      <c r="BE201" s="50" t="s">
        <v>200</v>
      </c>
      <c r="BF201" s="50" t="s">
        <v>200</v>
      </c>
      <c r="BG201" s="50" t="s">
        <v>200</v>
      </c>
      <c r="BH201" s="50" t="s">
        <v>200</v>
      </c>
      <c r="BI201" s="50" t="s">
        <v>200</v>
      </c>
      <c r="BJ201" s="50" t="s">
        <v>200</v>
      </c>
      <c r="BK201" s="50" t="s">
        <v>200</v>
      </c>
      <c r="BL201" s="50" t="s">
        <v>200</v>
      </c>
      <c r="BM201" s="50" t="s">
        <v>436</v>
      </c>
      <c r="BN201" s="50" t="s">
        <v>318</v>
      </c>
      <c r="BO201" s="50" t="s">
        <v>91</v>
      </c>
      <c r="BP201" s="50" t="s">
        <v>286</v>
      </c>
      <c r="BQ201" s="50" t="s">
        <v>287</v>
      </c>
      <c r="BR201" s="50" t="s">
        <v>382</v>
      </c>
      <c r="BS201" s="111">
        <v>4</v>
      </c>
      <c r="BT201" s="50" t="s">
        <v>286</v>
      </c>
      <c r="BU201" s="50" t="s">
        <v>312</v>
      </c>
      <c r="BV201" s="50" t="s">
        <v>288</v>
      </c>
      <c r="BW201" s="50" t="s">
        <v>304</v>
      </c>
      <c r="BX201" s="50" t="s">
        <v>290</v>
      </c>
      <c r="BY201" s="50" t="s">
        <v>288</v>
      </c>
      <c r="BZ201" s="50" t="s">
        <v>287</v>
      </c>
      <c r="CA201" s="50"/>
      <c r="CB201" s="50" t="s">
        <v>287</v>
      </c>
      <c r="CC201" s="50" t="s">
        <v>287</v>
      </c>
      <c r="CD201" s="50" t="s">
        <v>287</v>
      </c>
      <c r="CE201" s="50"/>
      <c r="CF201" s="50" t="s">
        <v>287</v>
      </c>
      <c r="CG201" s="50" t="s">
        <v>287</v>
      </c>
      <c r="CH201" s="50" t="s">
        <v>486</v>
      </c>
      <c r="CI201" s="50" t="s">
        <v>287</v>
      </c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1:97" ht="36.75" customHeight="1" thickBot="1">
      <c r="A202" s="49">
        <v>46087.335462962961</v>
      </c>
      <c r="B202" s="50" t="s">
        <v>40</v>
      </c>
      <c r="C202" s="50" t="s">
        <v>45</v>
      </c>
      <c r="D202" s="50" t="s">
        <v>369</v>
      </c>
      <c r="E202" s="50" t="s">
        <v>285</v>
      </c>
      <c r="F202" s="50" t="s">
        <v>286</v>
      </c>
      <c r="G202" s="50" t="s">
        <v>74</v>
      </c>
      <c r="H202" s="50" t="s">
        <v>347</v>
      </c>
      <c r="I202" s="50" t="s">
        <v>81</v>
      </c>
      <c r="J202" s="50" t="s">
        <v>286</v>
      </c>
      <c r="K202" s="50" t="s">
        <v>287</v>
      </c>
      <c r="L202" s="50" t="s">
        <v>379</v>
      </c>
      <c r="M202" s="50" t="s">
        <v>370</v>
      </c>
      <c r="N202" s="111">
        <v>5</v>
      </c>
      <c r="O202" s="111">
        <v>5</v>
      </c>
      <c r="P202" s="111">
        <v>5</v>
      </c>
      <c r="Q202" s="111">
        <v>5</v>
      </c>
      <c r="R202" s="111">
        <v>6</v>
      </c>
      <c r="S202" s="111">
        <v>6</v>
      </c>
      <c r="T202" s="111">
        <v>4</v>
      </c>
      <c r="U202" s="111">
        <v>5</v>
      </c>
      <c r="V202" s="111">
        <v>6</v>
      </c>
      <c r="W202" s="111">
        <v>6</v>
      </c>
      <c r="X202" s="111">
        <v>6</v>
      </c>
      <c r="Y202" s="111">
        <v>6</v>
      </c>
      <c r="Z202" s="111">
        <v>6</v>
      </c>
      <c r="AA202" s="111">
        <v>6</v>
      </c>
      <c r="AB202" s="111">
        <v>6</v>
      </c>
      <c r="AC202" s="111">
        <v>5</v>
      </c>
      <c r="AD202" s="111">
        <v>5</v>
      </c>
      <c r="AE202" s="111">
        <v>5</v>
      </c>
      <c r="AF202" s="111">
        <v>5</v>
      </c>
      <c r="AG202" s="111">
        <v>5</v>
      </c>
      <c r="AH202" s="111">
        <v>5</v>
      </c>
      <c r="AI202" s="111">
        <v>5</v>
      </c>
      <c r="AJ202" s="111">
        <v>5</v>
      </c>
      <c r="AK202" s="111">
        <v>5</v>
      </c>
      <c r="AL202" s="111">
        <v>5</v>
      </c>
      <c r="AM202" s="111">
        <v>5</v>
      </c>
      <c r="AN202" s="111">
        <v>5</v>
      </c>
      <c r="AO202" s="111">
        <v>5</v>
      </c>
      <c r="AP202" s="111">
        <v>5</v>
      </c>
      <c r="AQ202" s="111">
        <v>6</v>
      </c>
      <c r="AR202" s="111">
        <v>5</v>
      </c>
      <c r="AS202" s="111">
        <v>5</v>
      </c>
      <c r="AT202" s="111">
        <v>5</v>
      </c>
      <c r="AU202" s="111">
        <v>5</v>
      </c>
      <c r="AV202" s="50" t="s">
        <v>202</v>
      </c>
      <c r="AW202" s="50" t="s">
        <v>202</v>
      </c>
      <c r="AX202" s="50" t="s">
        <v>201</v>
      </c>
      <c r="AY202" s="50" t="s">
        <v>199</v>
      </c>
      <c r="AZ202" s="50" t="s">
        <v>202</v>
      </c>
      <c r="BA202" s="50" t="s">
        <v>199</v>
      </c>
      <c r="BB202" s="50" t="s">
        <v>202</v>
      </c>
      <c r="BC202" s="50" t="s">
        <v>202</v>
      </c>
      <c r="BD202" s="50" t="s">
        <v>202</v>
      </c>
      <c r="BE202" s="50" t="s">
        <v>201</v>
      </c>
      <c r="BF202" s="50" t="s">
        <v>201</v>
      </c>
      <c r="BG202" s="50" t="s">
        <v>202</v>
      </c>
      <c r="BH202" s="50" t="s">
        <v>200</v>
      </c>
      <c r="BI202" s="50" t="s">
        <v>202</v>
      </c>
      <c r="BJ202" s="50" t="s">
        <v>202</v>
      </c>
      <c r="BK202" s="50" t="s">
        <v>202</v>
      </c>
      <c r="BL202" s="50" t="s">
        <v>202</v>
      </c>
      <c r="BM202" s="50" t="s">
        <v>436</v>
      </c>
      <c r="BN202" s="50" t="s">
        <v>479</v>
      </c>
      <c r="BO202" s="50" t="s">
        <v>91</v>
      </c>
      <c r="BP202" s="50" t="s">
        <v>286</v>
      </c>
      <c r="BQ202" s="50" t="s">
        <v>287</v>
      </c>
      <c r="BR202" s="50" t="s">
        <v>372</v>
      </c>
      <c r="BS202" s="111">
        <v>5</v>
      </c>
      <c r="BT202" s="50" t="s">
        <v>286</v>
      </c>
      <c r="BU202" s="50" t="s">
        <v>348</v>
      </c>
      <c r="BV202" s="50" t="s">
        <v>288</v>
      </c>
      <c r="BW202" s="50" t="s">
        <v>350</v>
      </c>
      <c r="BX202" s="50" t="s">
        <v>387</v>
      </c>
      <c r="BY202" s="50" t="s">
        <v>288</v>
      </c>
      <c r="BZ202" s="50" t="s">
        <v>287</v>
      </c>
      <c r="CA202" s="50"/>
      <c r="CB202" s="50" t="s">
        <v>287</v>
      </c>
      <c r="CC202" s="50" t="s">
        <v>287</v>
      </c>
      <c r="CD202" s="50" t="s">
        <v>287</v>
      </c>
      <c r="CE202" s="50"/>
      <c r="CF202" s="50" t="s">
        <v>287</v>
      </c>
      <c r="CG202" s="50" t="s">
        <v>287</v>
      </c>
      <c r="CH202" s="50" t="s">
        <v>486</v>
      </c>
      <c r="CI202" s="50" t="s">
        <v>287</v>
      </c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1:97" ht="36.75" customHeight="1" thickBot="1">
      <c r="A203" s="49">
        <v>46087.341400462959</v>
      </c>
      <c r="B203" s="50" t="s">
        <v>40</v>
      </c>
      <c r="C203" s="50" t="s">
        <v>45</v>
      </c>
      <c r="D203" s="50" t="s">
        <v>374</v>
      </c>
      <c r="E203" s="50" t="s">
        <v>61</v>
      </c>
      <c r="F203" s="50" t="s">
        <v>286</v>
      </c>
      <c r="G203" s="50" t="s">
        <v>73</v>
      </c>
      <c r="H203" s="50" t="s">
        <v>361</v>
      </c>
      <c r="I203" s="50" t="s">
        <v>81</v>
      </c>
      <c r="J203" s="50" t="s">
        <v>286</v>
      </c>
      <c r="K203" s="50" t="s">
        <v>287</v>
      </c>
      <c r="L203" s="50" t="s">
        <v>336</v>
      </c>
      <c r="M203" s="50" t="s">
        <v>7</v>
      </c>
      <c r="N203" s="111">
        <v>5</v>
      </c>
      <c r="O203" s="111">
        <v>5</v>
      </c>
      <c r="P203" s="111">
        <v>5</v>
      </c>
      <c r="Q203" s="111">
        <v>5</v>
      </c>
      <c r="R203" s="111">
        <v>5</v>
      </c>
      <c r="S203" s="111">
        <v>5</v>
      </c>
      <c r="T203" s="111">
        <v>5</v>
      </c>
      <c r="U203" s="111">
        <v>5</v>
      </c>
      <c r="V203" s="111">
        <v>5</v>
      </c>
      <c r="W203" s="111">
        <v>5</v>
      </c>
      <c r="X203" s="111">
        <v>5</v>
      </c>
      <c r="Y203" s="111">
        <v>5</v>
      </c>
      <c r="Z203" s="111">
        <v>5</v>
      </c>
      <c r="AA203" s="111">
        <v>5</v>
      </c>
      <c r="AB203" s="111">
        <v>5</v>
      </c>
      <c r="AC203" s="111">
        <v>5</v>
      </c>
      <c r="AD203" s="111">
        <v>5</v>
      </c>
      <c r="AE203" s="111">
        <v>5</v>
      </c>
      <c r="AF203" s="111">
        <v>5</v>
      </c>
      <c r="AG203" s="111">
        <v>5</v>
      </c>
      <c r="AH203" s="111">
        <v>5</v>
      </c>
      <c r="AI203" s="111">
        <v>5</v>
      </c>
      <c r="AJ203" s="111">
        <v>5</v>
      </c>
      <c r="AK203" s="111">
        <v>5</v>
      </c>
      <c r="AL203" s="111">
        <v>5</v>
      </c>
      <c r="AM203" s="111">
        <v>5</v>
      </c>
      <c r="AN203" s="111">
        <v>5</v>
      </c>
      <c r="AO203" s="111">
        <v>5</v>
      </c>
      <c r="AP203" s="111">
        <v>5</v>
      </c>
      <c r="AQ203" s="111">
        <v>5</v>
      </c>
      <c r="AR203" s="111">
        <v>5</v>
      </c>
      <c r="AS203" s="111">
        <v>5</v>
      </c>
      <c r="AT203" s="111">
        <v>5</v>
      </c>
      <c r="AU203" s="111">
        <v>5</v>
      </c>
      <c r="AV203" s="50" t="s">
        <v>199</v>
      </c>
      <c r="AW203" s="50" t="s">
        <v>199</v>
      </c>
      <c r="AX203" s="50" t="s">
        <v>199</v>
      </c>
      <c r="AY203" s="50" t="s">
        <v>200</v>
      </c>
      <c r="AZ203" s="50" t="s">
        <v>200</v>
      </c>
      <c r="BA203" s="50" t="s">
        <v>200</v>
      </c>
      <c r="BB203" s="50" t="s">
        <v>200</v>
      </c>
      <c r="BC203" s="50" t="s">
        <v>200</v>
      </c>
      <c r="BD203" s="50" t="s">
        <v>200</v>
      </c>
      <c r="BE203" s="50" t="s">
        <v>200</v>
      </c>
      <c r="BF203" s="50" t="s">
        <v>200</v>
      </c>
      <c r="BG203" s="50" t="s">
        <v>200</v>
      </c>
      <c r="BH203" s="50" t="s">
        <v>200</v>
      </c>
      <c r="BI203" s="50" t="s">
        <v>200</v>
      </c>
      <c r="BJ203" s="50" t="s">
        <v>200</v>
      </c>
      <c r="BK203" s="50" t="s">
        <v>200</v>
      </c>
      <c r="BL203" s="50" t="s">
        <v>200</v>
      </c>
      <c r="BM203" s="50" t="s">
        <v>436</v>
      </c>
      <c r="BN203" s="50" t="s">
        <v>318</v>
      </c>
      <c r="BO203" s="50" t="s">
        <v>91</v>
      </c>
      <c r="BP203" s="50" t="s">
        <v>286</v>
      </c>
      <c r="BQ203" s="50" t="s">
        <v>287</v>
      </c>
      <c r="BR203" s="50" t="s">
        <v>416</v>
      </c>
      <c r="BS203" s="111">
        <v>4</v>
      </c>
      <c r="BT203" s="50" t="s">
        <v>286</v>
      </c>
      <c r="BU203" s="50" t="s">
        <v>312</v>
      </c>
      <c r="BV203" s="50" t="s">
        <v>288</v>
      </c>
      <c r="BW203" s="50" t="s">
        <v>289</v>
      </c>
      <c r="BX203" s="50" t="s">
        <v>290</v>
      </c>
      <c r="BY203" s="50" t="s">
        <v>288</v>
      </c>
      <c r="BZ203" s="50"/>
      <c r="CA203" s="50"/>
      <c r="CB203" s="50" t="s">
        <v>287</v>
      </c>
      <c r="CC203" s="50" t="s">
        <v>287</v>
      </c>
      <c r="CD203" s="50" t="s">
        <v>287</v>
      </c>
      <c r="CE203" s="50"/>
      <c r="CF203" s="50" t="s">
        <v>287</v>
      </c>
      <c r="CG203" s="50" t="s">
        <v>287</v>
      </c>
      <c r="CH203" s="50" t="s">
        <v>486</v>
      </c>
      <c r="CI203" s="50" t="s">
        <v>287</v>
      </c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1:97" ht="36.75" customHeight="1" thickBot="1">
      <c r="A204" s="49">
        <v>46087.345104166663</v>
      </c>
      <c r="B204" s="50" t="s">
        <v>40</v>
      </c>
      <c r="C204" s="50" t="s">
        <v>45</v>
      </c>
      <c r="D204" s="50" t="s">
        <v>374</v>
      </c>
      <c r="E204" s="50" t="s">
        <v>61</v>
      </c>
      <c r="F204" s="50" t="s">
        <v>286</v>
      </c>
      <c r="G204" s="50" t="s">
        <v>74</v>
      </c>
      <c r="H204" s="50" t="s">
        <v>306</v>
      </c>
      <c r="I204" s="50" t="s">
        <v>81</v>
      </c>
      <c r="J204" s="50" t="s">
        <v>286</v>
      </c>
      <c r="K204" s="50" t="s">
        <v>287</v>
      </c>
      <c r="L204" s="50" t="s">
        <v>336</v>
      </c>
      <c r="M204" s="50" t="s">
        <v>7</v>
      </c>
      <c r="N204" s="111">
        <v>5</v>
      </c>
      <c r="O204" s="111">
        <v>5</v>
      </c>
      <c r="P204" s="111">
        <v>5</v>
      </c>
      <c r="Q204" s="111">
        <v>5</v>
      </c>
      <c r="R204" s="111">
        <v>5</v>
      </c>
      <c r="S204" s="111">
        <v>5</v>
      </c>
      <c r="T204" s="111">
        <v>5</v>
      </c>
      <c r="U204" s="111">
        <v>5</v>
      </c>
      <c r="V204" s="111">
        <v>5</v>
      </c>
      <c r="W204" s="111">
        <v>5</v>
      </c>
      <c r="X204" s="111">
        <v>5</v>
      </c>
      <c r="Y204" s="111">
        <v>5</v>
      </c>
      <c r="Z204" s="111">
        <v>5</v>
      </c>
      <c r="AA204" s="111">
        <v>5</v>
      </c>
      <c r="AB204" s="111">
        <v>5</v>
      </c>
      <c r="AC204" s="111">
        <v>5</v>
      </c>
      <c r="AD204" s="111">
        <v>5</v>
      </c>
      <c r="AE204" s="111">
        <v>5</v>
      </c>
      <c r="AF204" s="111">
        <v>5</v>
      </c>
      <c r="AG204" s="111">
        <v>5</v>
      </c>
      <c r="AH204" s="111">
        <v>5</v>
      </c>
      <c r="AI204" s="111">
        <v>5</v>
      </c>
      <c r="AJ204" s="111">
        <v>5</v>
      </c>
      <c r="AK204" s="111">
        <v>5</v>
      </c>
      <c r="AL204" s="111">
        <v>5</v>
      </c>
      <c r="AM204" s="111">
        <v>5</v>
      </c>
      <c r="AN204" s="111">
        <v>5</v>
      </c>
      <c r="AO204" s="111">
        <v>5</v>
      </c>
      <c r="AP204" s="111">
        <v>5</v>
      </c>
      <c r="AQ204" s="111">
        <v>5</v>
      </c>
      <c r="AR204" s="111">
        <v>5</v>
      </c>
      <c r="AS204" s="111">
        <v>5</v>
      </c>
      <c r="AT204" s="111">
        <v>5</v>
      </c>
      <c r="AU204" s="111">
        <v>5</v>
      </c>
      <c r="AV204" s="50" t="s">
        <v>199</v>
      </c>
      <c r="AW204" s="50" t="s">
        <v>199</v>
      </c>
      <c r="AX204" s="50" t="s">
        <v>199</v>
      </c>
      <c r="AY204" s="50" t="s">
        <v>200</v>
      </c>
      <c r="AZ204" s="50" t="s">
        <v>200</v>
      </c>
      <c r="BA204" s="50" t="s">
        <v>200</v>
      </c>
      <c r="BB204" s="50" t="s">
        <v>200</v>
      </c>
      <c r="BC204" s="50" t="s">
        <v>200</v>
      </c>
      <c r="BD204" s="50" t="s">
        <v>200</v>
      </c>
      <c r="BE204" s="50" t="s">
        <v>200</v>
      </c>
      <c r="BF204" s="50" t="s">
        <v>200</v>
      </c>
      <c r="BG204" s="50" t="s">
        <v>200</v>
      </c>
      <c r="BH204" s="50" t="s">
        <v>200</v>
      </c>
      <c r="BI204" s="50" t="s">
        <v>200</v>
      </c>
      <c r="BJ204" s="50" t="s">
        <v>200</v>
      </c>
      <c r="BK204" s="50" t="s">
        <v>200</v>
      </c>
      <c r="BL204" s="50" t="s">
        <v>200</v>
      </c>
      <c r="BM204" s="50" t="s">
        <v>436</v>
      </c>
      <c r="BN204" s="50" t="s">
        <v>318</v>
      </c>
      <c r="BO204" s="50" t="s">
        <v>91</v>
      </c>
      <c r="BP204" s="50" t="s">
        <v>286</v>
      </c>
      <c r="BQ204" s="50" t="s">
        <v>287</v>
      </c>
      <c r="BR204" s="50" t="s">
        <v>407</v>
      </c>
      <c r="BS204" s="111">
        <v>4</v>
      </c>
      <c r="BT204" s="50" t="s">
        <v>286</v>
      </c>
      <c r="BU204" s="50" t="s">
        <v>312</v>
      </c>
      <c r="BV204" s="50" t="s">
        <v>288</v>
      </c>
      <c r="BW204" s="50" t="s">
        <v>304</v>
      </c>
      <c r="BX204" s="50" t="s">
        <v>300</v>
      </c>
      <c r="BY204" s="50" t="s">
        <v>288</v>
      </c>
      <c r="BZ204" s="50" t="s">
        <v>287</v>
      </c>
      <c r="CA204" s="50"/>
      <c r="CB204" s="50" t="s">
        <v>287</v>
      </c>
      <c r="CC204" s="50" t="s">
        <v>287</v>
      </c>
      <c r="CD204" s="50" t="s">
        <v>287</v>
      </c>
      <c r="CE204" s="50"/>
      <c r="CF204" s="50" t="s">
        <v>287</v>
      </c>
      <c r="CG204" s="50" t="s">
        <v>287</v>
      </c>
      <c r="CH204" s="50" t="s">
        <v>486</v>
      </c>
      <c r="CI204" s="50" t="s">
        <v>287</v>
      </c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1:97" ht="36.75" customHeight="1" thickBot="1">
      <c r="A205" s="49">
        <v>46087.346898148149</v>
      </c>
      <c r="B205" s="50" t="s">
        <v>40</v>
      </c>
      <c r="C205" s="50" t="s">
        <v>45</v>
      </c>
      <c r="D205" s="50" t="s">
        <v>369</v>
      </c>
      <c r="E205" s="50" t="s">
        <v>285</v>
      </c>
      <c r="F205" s="50" t="s">
        <v>286</v>
      </c>
      <c r="G205" s="50" t="s">
        <v>73</v>
      </c>
      <c r="H205" s="50" t="s">
        <v>550</v>
      </c>
      <c r="I205" s="50" t="s">
        <v>81</v>
      </c>
      <c r="J205" s="50" t="s">
        <v>286</v>
      </c>
      <c r="K205" s="50" t="s">
        <v>287</v>
      </c>
      <c r="L205" s="50" t="s">
        <v>336</v>
      </c>
      <c r="M205" s="50" t="s">
        <v>7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5</v>
      </c>
      <c r="AH205" s="111">
        <v>5</v>
      </c>
      <c r="AI205" s="111">
        <v>5</v>
      </c>
      <c r="AJ205" s="111">
        <v>5</v>
      </c>
      <c r="AK205" s="111">
        <v>5</v>
      </c>
      <c r="AL205" s="111">
        <v>5</v>
      </c>
      <c r="AM205" s="111">
        <v>5</v>
      </c>
      <c r="AN205" s="111">
        <v>5</v>
      </c>
      <c r="AO205" s="111">
        <v>5</v>
      </c>
      <c r="AP205" s="111">
        <v>5</v>
      </c>
      <c r="AQ205" s="111">
        <v>5</v>
      </c>
      <c r="AR205" s="111">
        <v>5</v>
      </c>
      <c r="AS205" s="111">
        <v>5</v>
      </c>
      <c r="AT205" s="111">
        <v>5</v>
      </c>
      <c r="AU205" s="111">
        <v>5</v>
      </c>
      <c r="AV205" s="50" t="s">
        <v>199</v>
      </c>
      <c r="AW205" s="50" t="s">
        <v>199</v>
      </c>
      <c r="AX205" s="50" t="s">
        <v>199</v>
      </c>
      <c r="AY205" s="50" t="s">
        <v>200</v>
      </c>
      <c r="AZ205" s="50" t="s">
        <v>200</v>
      </c>
      <c r="BA205" s="50" t="s">
        <v>200</v>
      </c>
      <c r="BB205" s="50" t="s">
        <v>200</v>
      </c>
      <c r="BC205" s="50" t="s">
        <v>200</v>
      </c>
      <c r="BD205" s="50" t="s">
        <v>200</v>
      </c>
      <c r="BE205" s="50" t="s">
        <v>200</v>
      </c>
      <c r="BF205" s="50" t="s">
        <v>200</v>
      </c>
      <c r="BG205" s="50" t="s">
        <v>200</v>
      </c>
      <c r="BH205" s="50" t="s">
        <v>200</v>
      </c>
      <c r="BI205" s="50" t="s">
        <v>200</v>
      </c>
      <c r="BJ205" s="50" t="s">
        <v>200</v>
      </c>
      <c r="BK205" s="50" t="s">
        <v>200</v>
      </c>
      <c r="BL205" s="50" t="s">
        <v>200</v>
      </c>
      <c r="BM205" s="50" t="s">
        <v>436</v>
      </c>
      <c r="BN205" s="50" t="s">
        <v>318</v>
      </c>
      <c r="BO205" s="50" t="s">
        <v>91</v>
      </c>
      <c r="BP205" s="50" t="s">
        <v>286</v>
      </c>
      <c r="BQ205" s="50" t="s">
        <v>287</v>
      </c>
      <c r="BR205" s="50" t="s">
        <v>406</v>
      </c>
      <c r="BS205" s="111">
        <v>4</v>
      </c>
      <c r="BT205" s="50" t="s">
        <v>286</v>
      </c>
      <c r="BU205" s="50" t="s">
        <v>312</v>
      </c>
      <c r="BV205" s="50" t="s">
        <v>288</v>
      </c>
      <c r="BW205" s="50" t="s">
        <v>304</v>
      </c>
      <c r="BX205" s="50" t="s">
        <v>300</v>
      </c>
      <c r="BY205" s="50" t="s">
        <v>288</v>
      </c>
      <c r="BZ205" s="50" t="s">
        <v>287</v>
      </c>
      <c r="CA205" s="50"/>
      <c r="CB205" s="50" t="s">
        <v>287</v>
      </c>
      <c r="CC205" s="50" t="s">
        <v>287</v>
      </c>
      <c r="CD205" s="50" t="s">
        <v>287</v>
      </c>
      <c r="CE205" s="50"/>
      <c r="CF205" s="50" t="s">
        <v>287</v>
      </c>
      <c r="CG205" s="50" t="s">
        <v>287</v>
      </c>
      <c r="CH205" s="50" t="s">
        <v>486</v>
      </c>
      <c r="CI205" s="50" t="s">
        <v>287</v>
      </c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1:97" ht="36.75" customHeight="1" thickBot="1">
      <c r="A206" s="49">
        <v>46087.350902777776</v>
      </c>
      <c r="B206" s="50" t="s">
        <v>40</v>
      </c>
      <c r="C206" s="50" t="s">
        <v>45</v>
      </c>
      <c r="D206" s="50" t="s">
        <v>374</v>
      </c>
      <c r="E206" s="50" t="s">
        <v>62</v>
      </c>
      <c r="F206" s="50" t="s">
        <v>286</v>
      </c>
      <c r="G206" s="50" t="s">
        <v>73</v>
      </c>
      <c r="H206" s="50" t="s">
        <v>298</v>
      </c>
      <c r="I206" s="50" t="s">
        <v>81</v>
      </c>
      <c r="J206" s="50" t="s">
        <v>286</v>
      </c>
      <c r="K206" s="50" t="s">
        <v>287</v>
      </c>
      <c r="L206" s="50" t="s">
        <v>336</v>
      </c>
      <c r="M206" s="50" t="s">
        <v>7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5</v>
      </c>
      <c r="AH206" s="111">
        <v>5</v>
      </c>
      <c r="AI206" s="111">
        <v>5</v>
      </c>
      <c r="AJ206" s="111">
        <v>5</v>
      </c>
      <c r="AK206" s="111">
        <v>5</v>
      </c>
      <c r="AL206" s="111">
        <v>5</v>
      </c>
      <c r="AM206" s="111">
        <v>5</v>
      </c>
      <c r="AN206" s="111">
        <v>5</v>
      </c>
      <c r="AO206" s="111">
        <v>5</v>
      </c>
      <c r="AP206" s="111">
        <v>5</v>
      </c>
      <c r="AQ206" s="111">
        <v>5</v>
      </c>
      <c r="AR206" s="111">
        <v>5</v>
      </c>
      <c r="AS206" s="111">
        <v>5</v>
      </c>
      <c r="AT206" s="111">
        <v>5</v>
      </c>
      <c r="AU206" s="111">
        <v>5</v>
      </c>
      <c r="AV206" s="50" t="s">
        <v>199</v>
      </c>
      <c r="AW206" s="50" t="s">
        <v>199</v>
      </c>
      <c r="AX206" s="50" t="s">
        <v>199</v>
      </c>
      <c r="AY206" s="50" t="s">
        <v>200</v>
      </c>
      <c r="AZ206" s="50" t="s">
        <v>200</v>
      </c>
      <c r="BA206" s="50" t="s">
        <v>200</v>
      </c>
      <c r="BB206" s="50" t="s">
        <v>200</v>
      </c>
      <c r="BC206" s="50" t="s">
        <v>200</v>
      </c>
      <c r="BD206" s="50" t="s">
        <v>200</v>
      </c>
      <c r="BE206" s="50" t="s">
        <v>200</v>
      </c>
      <c r="BF206" s="50" t="s">
        <v>200</v>
      </c>
      <c r="BG206" s="50" t="s">
        <v>200</v>
      </c>
      <c r="BH206" s="50" t="s">
        <v>200</v>
      </c>
      <c r="BI206" s="50" t="s">
        <v>200</v>
      </c>
      <c r="BJ206" s="50" t="s">
        <v>200</v>
      </c>
      <c r="BK206" s="50" t="s">
        <v>200</v>
      </c>
      <c r="BL206" s="50" t="s">
        <v>200</v>
      </c>
      <c r="BM206" s="50" t="s">
        <v>436</v>
      </c>
      <c r="BN206" s="50" t="s">
        <v>318</v>
      </c>
      <c r="BO206" s="50" t="s">
        <v>91</v>
      </c>
      <c r="BP206" s="50" t="s">
        <v>286</v>
      </c>
      <c r="BQ206" s="50" t="s">
        <v>287</v>
      </c>
      <c r="BR206" s="50" t="s">
        <v>408</v>
      </c>
      <c r="BS206" s="111">
        <v>4</v>
      </c>
      <c r="BT206" s="50" t="s">
        <v>318</v>
      </c>
      <c r="BU206" s="50" t="s">
        <v>312</v>
      </c>
      <c r="BV206" s="50" t="s">
        <v>288</v>
      </c>
      <c r="BW206" s="50" t="s">
        <v>297</v>
      </c>
      <c r="BX206" s="50" t="s">
        <v>296</v>
      </c>
      <c r="BY206" s="50" t="s">
        <v>288</v>
      </c>
      <c r="BZ206" s="50" t="s">
        <v>287</v>
      </c>
      <c r="CA206" s="50"/>
      <c r="CB206" s="50" t="s">
        <v>287</v>
      </c>
      <c r="CC206" s="50" t="s">
        <v>287</v>
      </c>
      <c r="CD206" s="50" t="s">
        <v>287</v>
      </c>
      <c r="CE206" s="50"/>
      <c r="CF206" s="50" t="s">
        <v>287</v>
      </c>
      <c r="CG206" s="50" t="s">
        <v>287</v>
      </c>
      <c r="CH206" s="50" t="s">
        <v>486</v>
      </c>
      <c r="CI206" s="50" t="s">
        <v>287</v>
      </c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1:97" ht="36.75" customHeight="1" thickBot="1">
      <c r="A207" s="49">
        <v>46087.353518518517</v>
      </c>
      <c r="B207" s="50" t="s">
        <v>40</v>
      </c>
      <c r="C207" s="50" t="s">
        <v>45</v>
      </c>
      <c r="D207" s="50" t="s">
        <v>369</v>
      </c>
      <c r="E207" s="50" t="s">
        <v>285</v>
      </c>
      <c r="F207" s="50" t="s">
        <v>286</v>
      </c>
      <c r="G207" s="50" t="s">
        <v>73</v>
      </c>
      <c r="H207" s="50" t="s">
        <v>390</v>
      </c>
      <c r="I207" s="50" t="s">
        <v>81</v>
      </c>
      <c r="J207" s="50" t="s">
        <v>286</v>
      </c>
      <c r="K207" s="50" t="s">
        <v>287</v>
      </c>
      <c r="L207" s="50" t="s">
        <v>336</v>
      </c>
      <c r="M207" s="50" t="s">
        <v>7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5</v>
      </c>
      <c r="AH207" s="111">
        <v>5</v>
      </c>
      <c r="AI207" s="111">
        <v>5</v>
      </c>
      <c r="AJ207" s="111">
        <v>5</v>
      </c>
      <c r="AK207" s="111">
        <v>5</v>
      </c>
      <c r="AL207" s="111">
        <v>5</v>
      </c>
      <c r="AM207" s="111">
        <v>5</v>
      </c>
      <c r="AN207" s="111">
        <v>5</v>
      </c>
      <c r="AO207" s="111">
        <v>5</v>
      </c>
      <c r="AP207" s="111">
        <v>5</v>
      </c>
      <c r="AQ207" s="111">
        <v>5</v>
      </c>
      <c r="AR207" s="111">
        <v>5</v>
      </c>
      <c r="AS207" s="111">
        <v>5</v>
      </c>
      <c r="AT207" s="111">
        <v>5</v>
      </c>
      <c r="AU207" s="111">
        <v>5</v>
      </c>
      <c r="AV207" s="50" t="s">
        <v>199</v>
      </c>
      <c r="AW207" s="50" t="s">
        <v>199</v>
      </c>
      <c r="AX207" s="50" t="s">
        <v>199</v>
      </c>
      <c r="AY207" s="50" t="s">
        <v>200</v>
      </c>
      <c r="AZ207" s="50" t="s">
        <v>200</v>
      </c>
      <c r="BA207" s="50" t="s">
        <v>200</v>
      </c>
      <c r="BB207" s="50" t="s">
        <v>200</v>
      </c>
      <c r="BC207" s="50" t="s">
        <v>200</v>
      </c>
      <c r="BD207" s="50" t="s">
        <v>200</v>
      </c>
      <c r="BE207" s="50" t="s">
        <v>200</v>
      </c>
      <c r="BF207" s="50" t="s">
        <v>200</v>
      </c>
      <c r="BG207" s="50" t="s">
        <v>200</v>
      </c>
      <c r="BH207" s="50" t="s">
        <v>200</v>
      </c>
      <c r="BI207" s="50" t="s">
        <v>200</v>
      </c>
      <c r="BJ207" s="50" t="s">
        <v>200</v>
      </c>
      <c r="BK207" s="50" t="s">
        <v>200</v>
      </c>
      <c r="BL207" s="50" t="s">
        <v>200</v>
      </c>
      <c r="BM207" s="50" t="s">
        <v>436</v>
      </c>
      <c r="BN207" s="50" t="s">
        <v>318</v>
      </c>
      <c r="BO207" s="50" t="s">
        <v>91</v>
      </c>
      <c r="BP207" s="50" t="s">
        <v>286</v>
      </c>
      <c r="BQ207" s="50" t="s">
        <v>287</v>
      </c>
      <c r="BR207" s="50" t="s">
        <v>305</v>
      </c>
      <c r="BS207" s="111">
        <v>4</v>
      </c>
      <c r="BT207" s="50" t="s">
        <v>286</v>
      </c>
      <c r="BU207" s="50" t="s">
        <v>312</v>
      </c>
      <c r="BV207" s="50" t="s">
        <v>288</v>
      </c>
      <c r="BW207" s="50" t="s">
        <v>304</v>
      </c>
      <c r="BX207" s="50" t="s">
        <v>300</v>
      </c>
      <c r="BY207" s="50" t="s">
        <v>288</v>
      </c>
      <c r="BZ207" s="50" t="s">
        <v>287</v>
      </c>
      <c r="CA207" s="50"/>
      <c r="CB207" s="50" t="s">
        <v>287</v>
      </c>
      <c r="CC207" s="50" t="s">
        <v>287</v>
      </c>
      <c r="CD207" s="50" t="s">
        <v>287</v>
      </c>
      <c r="CE207" s="50"/>
      <c r="CF207" s="50" t="s">
        <v>287</v>
      </c>
      <c r="CG207" s="50" t="s">
        <v>287</v>
      </c>
      <c r="CH207" s="50" t="s">
        <v>486</v>
      </c>
      <c r="CI207" s="50" t="s">
        <v>287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1:97" ht="36.75" customHeight="1" thickBot="1">
      <c r="A208" s="49">
        <v>46087.355717592596</v>
      </c>
      <c r="B208" s="50" t="s">
        <v>40</v>
      </c>
      <c r="C208" s="50" t="s">
        <v>45</v>
      </c>
      <c r="D208" s="50" t="s">
        <v>374</v>
      </c>
      <c r="E208" s="50" t="s">
        <v>61</v>
      </c>
      <c r="F208" s="50" t="s">
        <v>286</v>
      </c>
      <c r="G208" s="50" t="s">
        <v>74</v>
      </c>
      <c r="H208" s="50" t="s">
        <v>429</v>
      </c>
      <c r="I208" s="50" t="s">
        <v>81</v>
      </c>
      <c r="J208" s="50" t="s">
        <v>286</v>
      </c>
      <c r="K208" s="50" t="s">
        <v>287</v>
      </c>
      <c r="L208" s="50" t="s">
        <v>336</v>
      </c>
      <c r="M208" s="50" t="s">
        <v>7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5</v>
      </c>
      <c r="AH208" s="111">
        <v>5</v>
      </c>
      <c r="AI208" s="111">
        <v>5</v>
      </c>
      <c r="AJ208" s="111">
        <v>5</v>
      </c>
      <c r="AK208" s="111">
        <v>5</v>
      </c>
      <c r="AL208" s="111">
        <v>5</v>
      </c>
      <c r="AM208" s="111">
        <v>5</v>
      </c>
      <c r="AN208" s="111">
        <v>5</v>
      </c>
      <c r="AO208" s="111">
        <v>5</v>
      </c>
      <c r="AP208" s="111">
        <v>5</v>
      </c>
      <c r="AQ208" s="111">
        <v>5</v>
      </c>
      <c r="AR208" s="111">
        <v>5</v>
      </c>
      <c r="AS208" s="111">
        <v>5</v>
      </c>
      <c r="AT208" s="111">
        <v>5</v>
      </c>
      <c r="AU208" s="111">
        <v>5</v>
      </c>
      <c r="AV208" s="50" t="s">
        <v>199</v>
      </c>
      <c r="AW208" s="50" t="s">
        <v>199</v>
      </c>
      <c r="AX208" s="50" t="s">
        <v>199</v>
      </c>
      <c r="AY208" s="50" t="s">
        <v>200</v>
      </c>
      <c r="AZ208" s="50" t="s">
        <v>200</v>
      </c>
      <c r="BA208" s="50" t="s">
        <v>200</v>
      </c>
      <c r="BB208" s="50" t="s">
        <v>200</v>
      </c>
      <c r="BC208" s="50" t="s">
        <v>200</v>
      </c>
      <c r="BD208" s="50" t="s">
        <v>200</v>
      </c>
      <c r="BE208" s="50" t="s">
        <v>200</v>
      </c>
      <c r="BF208" s="50" t="s">
        <v>200</v>
      </c>
      <c r="BG208" s="50" t="s">
        <v>200</v>
      </c>
      <c r="BH208" s="50" t="s">
        <v>200</v>
      </c>
      <c r="BI208" s="50" t="s">
        <v>200</v>
      </c>
      <c r="BJ208" s="50" t="s">
        <v>200</v>
      </c>
      <c r="BK208" s="50" t="s">
        <v>200</v>
      </c>
      <c r="BL208" s="50" t="s">
        <v>200</v>
      </c>
      <c r="BM208" s="50" t="s">
        <v>436</v>
      </c>
      <c r="BN208" s="50" t="s">
        <v>318</v>
      </c>
      <c r="BO208" s="50" t="s">
        <v>91</v>
      </c>
      <c r="BP208" s="50" t="s">
        <v>286</v>
      </c>
      <c r="BQ208" s="50" t="s">
        <v>287</v>
      </c>
      <c r="BR208" s="50" t="s">
        <v>412</v>
      </c>
      <c r="BS208" s="111">
        <v>4</v>
      </c>
      <c r="BT208" s="50" t="s">
        <v>286</v>
      </c>
      <c r="BU208" s="50" t="s">
        <v>312</v>
      </c>
      <c r="BV208" s="50" t="s">
        <v>288</v>
      </c>
      <c r="BW208" s="50" t="s">
        <v>289</v>
      </c>
      <c r="BX208" s="50" t="s">
        <v>300</v>
      </c>
      <c r="BY208" s="50" t="s">
        <v>288</v>
      </c>
      <c r="BZ208" s="50" t="s">
        <v>287</v>
      </c>
      <c r="CA208" s="50"/>
      <c r="CB208" s="50" t="s">
        <v>287</v>
      </c>
      <c r="CC208" s="50" t="s">
        <v>287</v>
      </c>
      <c r="CD208" s="50" t="s">
        <v>287</v>
      </c>
      <c r="CE208" s="50"/>
      <c r="CF208" s="50" t="s">
        <v>287</v>
      </c>
      <c r="CG208" s="50" t="s">
        <v>287</v>
      </c>
      <c r="CH208" s="50" t="s">
        <v>486</v>
      </c>
      <c r="CI208" s="50" t="s">
        <v>287</v>
      </c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1:97" ht="36.75" customHeight="1" thickBot="1">
      <c r="A209" s="49">
        <v>46087.357418981483</v>
      </c>
      <c r="B209" s="50" t="s">
        <v>36</v>
      </c>
      <c r="C209" s="50" t="s">
        <v>46</v>
      </c>
      <c r="D209" s="50" t="s">
        <v>369</v>
      </c>
      <c r="E209" s="50" t="s">
        <v>61</v>
      </c>
      <c r="F209" s="50" t="s">
        <v>286</v>
      </c>
      <c r="G209" s="50" t="s">
        <v>73</v>
      </c>
      <c r="H209" s="50" t="s">
        <v>308</v>
      </c>
      <c r="I209" s="50" t="s">
        <v>92</v>
      </c>
      <c r="J209" s="50" t="s">
        <v>286</v>
      </c>
      <c r="K209" s="50" t="s">
        <v>287</v>
      </c>
      <c r="L209" s="50" t="s">
        <v>336</v>
      </c>
      <c r="M209" s="50" t="s">
        <v>7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5</v>
      </c>
      <c r="AH209" s="111">
        <v>5</v>
      </c>
      <c r="AI209" s="111">
        <v>5</v>
      </c>
      <c r="AJ209" s="111">
        <v>5</v>
      </c>
      <c r="AK209" s="111">
        <v>5</v>
      </c>
      <c r="AL209" s="111">
        <v>5</v>
      </c>
      <c r="AM209" s="111">
        <v>5</v>
      </c>
      <c r="AN209" s="111">
        <v>5</v>
      </c>
      <c r="AO209" s="111">
        <v>5</v>
      </c>
      <c r="AP209" s="111">
        <v>5</v>
      </c>
      <c r="AQ209" s="111">
        <v>5</v>
      </c>
      <c r="AR209" s="111">
        <v>5</v>
      </c>
      <c r="AS209" s="111">
        <v>5</v>
      </c>
      <c r="AT209" s="111">
        <v>5</v>
      </c>
      <c r="AU209" s="111">
        <v>5</v>
      </c>
      <c r="AV209" s="50" t="s">
        <v>199</v>
      </c>
      <c r="AW209" s="50" t="s">
        <v>199</v>
      </c>
      <c r="AX209" s="50" t="s">
        <v>199</v>
      </c>
      <c r="AY209" s="50" t="s">
        <v>200</v>
      </c>
      <c r="AZ209" s="50" t="s">
        <v>200</v>
      </c>
      <c r="BA209" s="50" t="s">
        <v>200</v>
      </c>
      <c r="BB209" s="50" t="s">
        <v>200</v>
      </c>
      <c r="BC209" s="50" t="s">
        <v>200</v>
      </c>
      <c r="BD209" s="50" t="s">
        <v>200</v>
      </c>
      <c r="BE209" s="50" t="s">
        <v>200</v>
      </c>
      <c r="BF209" s="50" t="s">
        <v>200</v>
      </c>
      <c r="BG209" s="50" t="s">
        <v>200</v>
      </c>
      <c r="BH209" s="50" t="s">
        <v>200</v>
      </c>
      <c r="BI209" s="50" t="s">
        <v>200</v>
      </c>
      <c r="BJ209" s="50" t="s">
        <v>200</v>
      </c>
      <c r="BK209" s="50" t="s">
        <v>200</v>
      </c>
      <c r="BL209" s="50" t="s">
        <v>200</v>
      </c>
      <c r="BM209" s="50" t="s">
        <v>436</v>
      </c>
      <c r="BN209" s="50" t="s">
        <v>318</v>
      </c>
      <c r="BO209" s="50" t="s">
        <v>91</v>
      </c>
      <c r="BP209" s="50" t="s">
        <v>286</v>
      </c>
      <c r="BQ209" s="50" t="s">
        <v>287</v>
      </c>
      <c r="BR209" s="50" t="s">
        <v>413</v>
      </c>
      <c r="BS209" s="111">
        <v>4</v>
      </c>
      <c r="BT209" s="50" t="s">
        <v>286</v>
      </c>
      <c r="BU209" s="50" t="s">
        <v>312</v>
      </c>
      <c r="BV209" s="50" t="s">
        <v>288</v>
      </c>
      <c r="BW209" s="50" t="s">
        <v>289</v>
      </c>
      <c r="BX209" s="50" t="s">
        <v>300</v>
      </c>
      <c r="BY209" s="50" t="s">
        <v>288</v>
      </c>
      <c r="BZ209" s="50" t="s">
        <v>287</v>
      </c>
      <c r="CA209" s="50"/>
      <c r="CB209" s="50" t="s">
        <v>287</v>
      </c>
      <c r="CC209" s="50" t="s">
        <v>287</v>
      </c>
      <c r="CD209" s="50" t="s">
        <v>287</v>
      </c>
      <c r="CE209" s="50"/>
      <c r="CF209" s="50" t="s">
        <v>287</v>
      </c>
      <c r="CG209" s="50" t="s">
        <v>287</v>
      </c>
      <c r="CH209" s="50" t="s">
        <v>486</v>
      </c>
      <c r="CI209" s="50" t="s">
        <v>287</v>
      </c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1:97" ht="36.75" customHeight="1" thickBot="1">
      <c r="A210" s="49">
        <v>46087.359120370369</v>
      </c>
      <c r="B210" s="50" t="s">
        <v>39</v>
      </c>
      <c r="C210" s="50" t="s">
        <v>46</v>
      </c>
      <c r="D210" s="50" t="s">
        <v>369</v>
      </c>
      <c r="E210" s="50" t="s">
        <v>61</v>
      </c>
      <c r="F210" s="50" t="s">
        <v>286</v>
      </c>
      <c r="G210" s="50" t="s">
        <v>292</v>
      </c>
      <c r="H210" s="50" t="s">
        <v>423</v>
      </c>
      <c r="I210" s="50" t="s">
        <v>92</v>
      </c>
      <c r="J210" s="50" t="s">
        <v>286</v>
      </c>
      <c r="K210" s="50" t="s">
        <v>287</v>
      </c>
      <c r="L210" s="50" t="s">
        <v>336</v>
      </c>
      <c r="M210" s="50" t="s">
        <v>7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5</v>
      </c>
      <c r="AH210" s="111">
        <v>5</v>
      </c>
      <c r="AI210" s="111">
        <v>5</v>
      </c>
      <c r="AJ210" s="111">
        <v>5</v>
      </c>
      <c r="AK210" s="111">
        <v>5</v>
      </c>
      <c r="AL210" s="111">
        <v>5</v>
      </c>
      <c r="AM210" s="111">
        <v>5</v>
      </c>
      <c r="AN210" s="111">
        <v>5</v>
      </c>
      <c r="AO210" s="111">
        <v>5</v>
      </c>
      <c r="AP210" s="111">
        <v>5</v>
      </c>
      <c r="AQ210" s="111">
        <v>5</v>
      </c>
      <c r="AR210" s="111">
        <v>5</v>
      </c>
      <c r="AS210" s="111">
        <v>5</v>
      </c>
      <c r="AT210" s="111">
        <v>5</v>
      </c>
      <c r="AU210" s="111">
        <v>5</v>
      </c>
      <c r="AV210" s="50" t="s">
        <v>199</v>
      </c>
      <c r="AW210" s="50" t="s">
        <v>199</v>
      </c>
      <c r="AX210" s="50" t="s">
        <v>199</v>
      </c>
      <c r="AY210" s="50" t="s">
        <v>200</v>
      </c>
      <c r="AZ210" s="50" t="s">
        <v>200</v>
      </c>
      <c r="BA210" s="50" t="s">
        <v>200</v>
      </c>
      <c r="BB210" s="50" t="s">
        <v>200</v>
      </c>
      <c r="BC210" s="50" t="s">
        <v>200</v>
      </c>
      <c r="BD210" s="50" t="s">
        <v>200</v>
      </c>
      <c r="BE210" s="50" t="s">
        <v>200</v>
      </c>
      <c r="BF210" s="50" t="s">
        <v>200</v>
      </c>
      <c r="BG210" s="50" t="s">
        <v>200</v>
      </c>
      <c r="BH210" s="50" t="s">
        <v>200</v>
      </c>
      <c r="BI210" s="50" t="s">
        <v>200</v>
      </c>
      <c r="BJ210" s="50" t="s">
        <v>200</v>
      </c>
      <c r="BK210" s="50" t="s">
        <v>200</v>
      </c>
      <c r="BL210" s="50" t="s">
        <v>200</v>
      </c>
      <c r="BM210" s="50" t="s">
        <v>436</v>
      </c>
      <c r="BN210" s="50" t="s">
        <v>318</v>
      </c>
      <c r="BO210" s="50" t="s">
        <v>91</v>
      </c>
      <c r="BP210" s="50" t="s">
        <v>286</v>
      </c>
      <c r="BQ210" s="50" t="s">
        <v>287</v>
      </c>
      <c r="BR210" s="50" t="s">
        <v>407</v>
      </c>
      <c r="BS210" s="111">
        <v>4</v>
      </c>
      <c r="BT210" s="50" t="s">
        <v>286</v>
      </c>
      <c r="BU210" s="50" t="s">
        <v>312</v>
      </c>
      <c r="BV210" s="50" t="s">
        <v>288</v>
      </c>
      <c r="BW210" s="50" t="s">
        <v>293</v>
      </c>
      <c r="BX210" s="50" t="s">
        <v>290</v>
      </c>
      <c r="BY210" s="50" t="s">
        <v>288</v>
      </c>
      <c r="BZ210" s="50" t="s">
        <v>287</v>
      </c>
      <c r="CA210" s="50"/>
      <c r="CB210" s="50" t="s">
        <v>287</v>
      </c>
      <c r="CC210" s="50" t="s">
        <v>287</v>
      </c>
      <c r="CD210" s="50" t="s">
        <v>287</v>
      </c>
      <c r="CE210" s="50"/>
      <c r="CF210" s="50" t="s">
        <v>287</v>
      </c>
      <c r="CG210" s="50" t="s">
        <v>287</v>
      </c>
      <c r="CH210" s="50" t="s">
        <v>486</v>
      </c>
      <c r="CI210" s="50" t="s">
        <v>287</v>
      </c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1:97" ht="36.75" customHeight="1" thickBot="1">
      <c r="A211" s="49">
        <v>46087.361018518517</v>
      </c>
      <c r="B211" s="50" t="s">
        <v>40</v>
      </c>
      <c r="C211" s="50" t="s">
        <v>45</v>
      </c>
      <c r="D211" s="50" t="s">
        <v>374</v>
      </c>
      <c r="E211" s="50" t="s">
        <v>61</v>
      </c>
      <c r="F211" s="50" t="s">
        <v>286</v>
      </c>
      <c r="G211" s="50" t="s">
        <v>73</v>
      </c>
      <c r="H211" s="50" t="s">
        <v>361</v>
      </c>
      <c r="I211" s="50" t="s">
        <v>81</v>
      </c>
      <c r="J211" s="50" t="s">
        <v>286</v>
      </c>
      <c r="K211" s="50" t="s">
        <v>287</v>
      </c>
      <c r="L211" s="50" t="s">
        <v>336</v>
      </c>
      <c r="M211" s="50" t="s">
        <v>7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5</v>
      </c>
      <c r="U211" s="111">
        <v>5</v>
      </c>
      <c r="V211" s="111">
        <v>5</v>
      </c>
      <c r="W211" s="111">
        <v>5</v>
      </c>
      <c r="X211" s="111">
        <v>5</v>
      </c>
      <c r="Y211" s="111">
        <v>5</v>
      </c>
      <c r="Z211" s="111">
        <v>5</v>
      </c>
      <c r="AA211" s="111">
        <v>5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5</v>
      </c>
      <c r="AH211" s="111">
        <v>5</v>
      </c>
      <c r="AI211" s="111">
        <v>5</v>
      </c>
      <c r="AJ211" s="111">
        <v>5</v>
      </c>
      <c r="AK211" s="111">
        <v>5</v>
      </c>
      <c r="AL211" s="111">
        <v>5</v>
      </c>
      <c r="AM211" s="111">
        <v>5</v>
      </c>
      <c r="AN211" s="111">
        <v>5</v>
      </c>
      <c r="AO211" s="111">
        <v>5</v>
      </c>
      <c r="AP211" s="111">
        <v>5</v>
      </c>
      <c r="AQ211" s="111">
        <v>5</v>
      </c>
      <c r="AR211" s="111">
        <v>5</v>
      </c>
      <c r="AS211" s="111">
        <v>5</v>
      </c>
      <c r="AT211" s="111">
        <v>5</v>
      </c>
      <c r="AU211" s="111">
        <v>5</v>
      </c>
      <c r="AV211" s="50" t="s">
        <v>199</v>
      </c>
      <c r="AW211" s="50" t="s">
        <v>199</v>
      </c>
      <c r="AX211" s="50" t="s">
        <v>199</v>
      </c>
      <c r="AY211" s="50" t="s">
        <v>200</v>
      </c>
      <c r="AZ211" s="50" t="s">
        <v>200</v>
      </c>
      <c r="BA211" s="50" t="s">
        <v>200</v>
      </c>
      <c r="BB211" s="50" t="s">
        <v>200</v>
      </c>
      <c r="BC211" s="50" t="s">
        <v>200</v>
      </c>
      <c r="BD211" s="50" t="s">
        <v>200</v>
      </c>
      <c r="BE211" s="50" t="s">
        <v>200</v>
      </c>
      <c r="BF211" s="50" t="s">
        <v>200</v>
      </c>
      <c r="BG211" s="50" t="s">
        <v>200</v>
      </c>
      <c r="BH211" s="50" t="s">
        <v>200</v>
      </c>
      <c r="BI211" s="50" t="s">
        <v>200</v>
      </c>
      <c r="BJ211" s="50" t="s">
        <v>200</v>
      </c>
      <c r="BK211" s="50" t="s">
        <v>200</v>
      </c>
      <c r="BL211" s="50" t="s">
        <v>200</v>
      </c>
      <c r="BM211" s="50" t="s">
        <v>436</v>
      </c>
      <c r="BN211" s="50" t="s">
        <v>318</v>
      </c>
      <c r="BO211" s="50" t="s">
        <v>91</v>
      </c>
      <c r="BP211" s="50" t="s">
        <v>286</v>
      </c>
      <c r="BQ211" s="50" t="s">
        <v>287</v>
      </c>
      <c r="BR211" s="50" t="s">
        <v>407</v>
      </c>
      <c r="BS211" s="111">
        <v>4</v>
      </c>
      <c r="BT211" s="50" t="s">
        <v>427</v>
      </c>
      <c r="BU211" s="50" t="s">
        <v>312</v>
      </c>
      <c r="BV211" s="50" t="s">
        <v>288</v>
      </c>
      <c r="BW211" s="50" t="s">
        <v>289</v>
      </c>
      <c r="BX211" s="50" t="s">
        <v>300</v>
      </c>
      <c r="BY211" s="50" t="s">
        <v>288</v>
      </c>
      <c r="BZ211" s="50" t="s">
        <v>287</v>
      </c>
      <c r="CA211" s="50"/>
      <c r="CB211" s="50" t="s">
        <v>287</v>
      </c>
      <c r="CC211" s="50" t="s">
        <v>287</v>
      </c>
      <c r="CD211" s="50" t="s">
        <v>287</v>
      </c>
      <c r="CE211" s="50"/>
      <c r="CF211" s="50" t="s">
        <v>287</v>
      </c>
      <c r="CG211" s="50" t="s">
        <v>287</v>
      </c>
      <c r="CH211" s="50" t="s">
        <v>486</v>
      </c>
      <c r="CI211" s="50" t="s">
        <v>287</v>
      </c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1:97" ht="36.75" customHeight="1" thickBot="1">
      <c r="A212" s="49">
        <v>46087.363194444442</v>
      </c>
      <c r="B212" s="50" t="s">
        <v>40</v>
      </c>
      <c r="C212" s="50" t="s">
        <v>45</v>
      </c>
      <c r="D212" s="50" t="s">
        <v>374</v>
      </c>
      <c r="E212" s="50" t="s">
        <v>61</v>
      </c>
      <c r="F212" s="50" t="s">
        <v>286</v>
      </c>
      <c r="G212" s="50" t="s">
        <v>292</v>
      </c>
      <c r="H212" s="50" t="s">
        <v>338</v>
      </c>
      <c r="I212" s="50" t="s">
        <v>81</v>
      </c>
      <c r="J212" s="50" t="s">
        <v>286</v>
      </c>
      <c r="K212" s="50" t="s">
        <v>287</v>
      </c>
      <c r="L212" s="50" t="s">
        <v>336</v>
      </c>
      <c r="M212" s="50" t="s">
        <v>7</v>
      </c>
      <c r="N212" s="111">
        <v>5</v>
      </c>
      <c r="O212" s="111">
        <v>5</v>
      </c>
      <c r="P212" s="111">
        <v>5</v>
      </c>
      <c r="Q212" s="111">
        <v>5</v>
      </c>
      <c r="R212" s="111">
        <v>5</v>
      </c>
      <c r="S212" s="111">
        <v>5</v>
      </c>
      <c r="T212" s="111">
        <v>5</v>
      </c>
      <c r="U212" s="111">
        <v>5</v>
      </c>
      <c r="V212" s="111">
        <v>5</v>
      </c>
      <c r="W212" s="111">
        <v>5</v>
      </c>
      <c r="X212" s="111">
        <v>5</v>
      </c>
      <c r="Y212" s="111">
        <v>5</v>
      </c>
      <c r="Z212" s="111">
        <v>5</v>
      </c>
      <c r="AA212" s="111">
        <v>5</v>
      </c>
      <c r="AB212" s="111">
        <v>5</v>
      </c>
      <c r="AC212" s="111">
        <v>5</v>
      </c>
      <c r="AD212" s="111">
        <v>5</v>
      </c>
      <c r="AE212" s="111">
        <v>5</v>
      </c>
      <c r="AF212" s="111">
        <v>5</v>
      </c>
      <c r="AG212" s="111">
        <v>5</v>
      </c>
      <c r="AH212" s="111">
        <v>5</v>
      </c>
      <c r="AI212" s="111">
        <v>5</v>
      </c>
      <c r="AJ212" s="111">
        <v>5</v>
      </c>
      <c r="AK212" s="111">
        <v>5</v>
      </c>
      <c r="AL212" s="111">
        <v>5</v>
      </c>
      <c r="AM212" s="111">
        <v>5</v>
      </c>
      <c r="AN212" s="111">
        <v>5</v>
      </c>
      <c r="AO212" s="111">
        <v>5</v>
      </c>
      <c r="AP212" s="111">
        <v>5</v>
      </c>
      <c r="AQ212" s="111">
        <v>5</v>
      </c>
      <c r="AR212" s="111">
        <v>5</v>
      </c>
      <c r="AS212" s="111">
        <v>5</v>
      </c>
      <c r="AT212" s="111">
        <v>5</v>
      </c>
      <c r="AU212" s="111">
        <v>5</v>
      </c>
      <c r="AV212" s="50" t="s">
        <v>199</v>
      </c>
      <c r="AW212" s="50" t="s">
        <v>199</v>
      </c>
      <c r="AX212" s="50" t="s">
        <v>199</v>
      </c>
      <c r="AY212" s="50" t="s">
        <v>200</v>
      </c>
      <c r="AZ212" s="50" t="s">
        <v>200</v>
      </c>
      <c r="BA212" s="50" t="s">
        <v>200</v>
      </c>
      <c r="BB212" s="50" t="s">
        <v>200</v>
      </c>
      <c r="BC212" s="50" t="s">
        <v>200</v>
      </c>
      <c r="BD212" s="50" t="s">
        <v>200</v>
      </c>
      <c r="BE212" s="50" t="s">
        <v>200</v>
      </c>
      <c r="BF212" s="50" t="s">
        <v>200</v>
      </c>
      <c r="BG212" s="50" t="s">
        <v>200</v>
      </c>
      <c r="BH212" s="50" t="s">
        <v>200</v>
      </c>
      <c r="BI212" s="50" t="s">
        <v>200</v>
      </c>
      <c r="BJ212" s="50" t="s">
        <v>200</v>
      </c>
      <c r="BK212" s="50" t="s">
        <v>200</v>
      </c>
      <c r="BL212" s="50" t="s">
        <v>200</v>
      </c>
      <c r="BM212" s="50" t="s">
        <v>436</v>
      </c>
      <c r="BN212" s="50" t="s">
        <v>318</v>
      </c>
      <c r="BO212" s="50" t="s">
        <v>91</v>
      </c>
      <c r="BP212" s="50" t="s">
        <v>286</v>
      </c>
      <c r="BQ212" s="50" t="s">
        <v>287</v>
      </c>
      <c r="BR212" s="50" t="s">
        <v>414</v>
      </c>
      <c r="BS212" s="111">
        <v>4</v>
      </c>
      <c r="BT212" s="50" t="s">
        <v>286</v>
      </c>
      <c r="BU212" s="50" t="s">
        <v>312</v>
      </c>
      <c r="BV212" s="50" t="s">
        <v>288</v>
      </c>
      <c r="BW212" s="50" t="s">
        <v>304</v>
      </c>
      <c r="BX212" s="50" t="s">
        <v>290</v>
      </c>
      <c r="BY212" s="50" t="s">
        <v>288</v>
      </c>
      <c r="BZ212" s="50" t="s">
        <v>287</v>
      </c>
      <c r="CA212" s="50"/>
      <c r="CB212" s="50" t="s">
        <v>287</v>
      </c>
      <c r="CC212" s="50" t="s">
        <v>287</v>
      </c>
      <c r="CD212" s="50" t="s">
        <v>287</v>
      </c>
      <c r="CE212" s="50"/>
      <c r="CF212" s="50" t="s">
        <v>287</v>
      </c>
      <c r="CG212" s="50" t="s">
        <v>287</v>
      </c>
      <c r="CH212" s="50" t="s">
        <v>486</v>
      </c>
      <c r="CI212" s="50" t="s">
        <v>287</v>
      </c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1:97" ht="36.75" customHeight="1" thickBot="1">
      <c r="A213" s="49">
        <v>46087.431446759256</v>
      </c>
      <c r="B213" s="50" t="s">
        <v>40</v>
      </c>
      <c r="C213" s="50" t="s">
        <v>45</v>
      </c>
      <c r="D213" s="50" t="s">
        <v>374</v>
      </c>
      <c r="E213" s="50" t="s">
        <v>61</v>
      </c>
      <c r="F213" s="50" t="s">
        <v>286</v>
      </c>
      <c r="G213" s="50" t="s">
        <v>73</v>
      </c>
      <c r="H213" s="50" t="s">
        <v>325</v>
      </c>
      <c r="I213" s="50" t="s">
        <v>81</v>
      </c>
      <c r="J213" s="50" t="s">
        <v>286</v>
      </c>
      <c r="K213" s="50" t="s">
        <v>287</v>
      </c>
      <c r="L213" s="50" t="s">
        <v>336</v>
      </c>
      <c r="M213" s="50" t="s">
        <v>7</v>
      </c>
      <c r="N213" s="111">
        <v>5</v>
      </c>
      <c r="O213" s="111">
        <v>5</v>
      </c>
      <c r="P213" s="111">
        <v>5</v>
      </c>
      <c r="Q213" s="111">
        <v>5</v>
      </c>
      <c r="R213" s="111">
        <v>5</v>
      </c>
      <c r="S213" s="111">
        <v>5</v>
      </c>
      <c r="T213" s="111">
        <v>5</v>
      </c>
      <c r="U213" s="111">
        <v>5</v>
      </c>
      <c r="V213" s="111">
        <v>5</v>
      </c>
      <c r="W213" s="111">
        <v>5</v>
      </c>
      <c r="X213" s="111">
        <v>5</v>
      </c>
      <c r="Y213" s="111">
        <v>5</v>
      </c>
      <c r="Z213" s="111">
        <v>5</v>
      </c>
      <c r="AA213" s="111">
        <v>5</v>
      </c>
      <c r="AB213" s="111">
        <v>5</v>
      </c>
      <c r="AC213" s="111">
        <v>5</v>
      </c>
      <c r="AD213" s="111">
        <v>5</v>
      </c>
      <c r="AE213" s="111">
        <v>5</v>
      </c>
      <c r="AF213" s="111">
        <v>5</v>
      </c>
      <c r="AG213" s="111">
        <v>5</v>
      </c>
      <c r="AH213" s="111">
        <v>5</v>
      </c>
      <c r="AI213" s="111">
        <v>5</v>
      </c>
      <c r="AJ213" s="111">
        <v>5</v>
      </c>
      <c r="AK213" s="111">
        <v>5</v>
      </c>
      <c r="AL213" s="111">
        <v>5</v>
      </c>
      <c r="AM213" s="111">
        <v>5</v>
      </c>
      <c r="AN213" s="111">
        <v>5</v>
      </c>
      <c r="AO213" s="111">
        <v>5</v>
      </c>
      <c r="AP213" s="111">
        <v>5</v>
      </c>
      <c r="AQ213" s="111">
        <v>5</v>
      </c>
      <c r="AR213" s="111">
        <v>5</v>
      </c>
      <c r="AS213" s="111">
        <v>5</v>
      </c>
      <c r="AT213" s="111">
        <v>5</v>
      </c>
      <c r="AU213" s="111">
        <v>5</v>
      </c>
      <c r="AV213" s="50" t="s">
        <v>199</v>
      </c>
      <c r="AW213" s="50" t="s">
        <v>199</v>
      </c>
      <c r="AX213" s="50" t="s">
        <v>199</v>
      </c>
      <c r="AY213" s="50" t="s">
        <v>200</v>
      </c>
      <c r="AZ213" s="50" t="s">
        <v>200</v>
      </c>
      <c r="BA213" s="50" t="s">
        <v>200</v>
      </c>
      <c r="BB213" s="50" t="s">
        <v>200</v>
      </c>
      <c r="BC213" s="50" t="s">
        <v>200</v>
      </c>
      <c r="BD213" s="50" t="s">
        <v>200</v>
      </c>
      <c r="BE213" s="50" t="s">
        <v>200</v>
      </c>
      <c r="BF213" s="50" t="s">
        <v>200</v>
      </c>
      <c r="BG213" s="50" t="s">
        <v>200</v>
      </c>
      <c r="BH213" s="50" t="s">
        <v>200</v>
      </c>
      <c r="BI213" s="50" t="s">
        <v>200</v>
      </c>
      <c r="BJ213" s="50" t="s">
        <v>200</v>
      </c>
      <c r="BK213" s="50" t="s">
        <v>200</v>
      </c>
      <c r="BL213" s="50" t="s">
        <v>200</v>
      </c>
      <c r="BM213" s="50" t="s">
        <v>436</v>
      </c>
      <c r="BN213" s="50" t="s">
        <v>318</v>
      </c>
      <c r="BO213" s="50" t="s">
        <v>91</v>
      </c>
      <c r="BP213" s="50" t="s">
        <v>286</v>
      </c>
      <c r="BQ213" s="50" t="s">
        <v>287</v>
      </c>
      <c r="BR213" s="50" t="s">
        <v>403</v>
      </c>
      <c r="BS213" s="111">
        <v>4</v>
      </c>
      <c r="BT213" s="50" t="s">
        <v>286</v>
      </c>
      <c r="BU213" s="50" t="s">
        <v>312</v>
      </c>
      <c r="BV213" s="50" t="s">
        <v>288</v>
      </c>
      <c r="BW213" s="50" t="s">
        <v>303</v>
      </c>
      <c r="BX213" s="50" t="s">
        <v>290</v>
      </c>
      <c r="BY213" s="50" t="s">
        <v>288</v>
      </c>
      <c r="BZ213" s="50" t="s">
        <v>287</v>
      </c>
      <c r="CA213" s="50"/>
      <c r="CB213" s="50" t="s">
        <v>287</v>
      </c>
      <c r="CC213" s="50" t="s">
        <v>287</v>
      </c>
      <c r="CD213" s="50" t="s">
        <v>287</v>
      </c>
      <c r="CE213" s="50"/>
      <c r="CF213" s="50" t="s">
        <v>287</v>
      </c>
      <c r="CG213" s="50" t="s">
        <v>287</v>
      </c>
      <c r="CH213" s="50" t="s">
        <v>486</v>
      </c>
      <c r="CI213" s="50" t="s">
        <v>287</v>
      </c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1:97" ht="36.75" customHeight="1" thickBot="1">
      <c r="A214" s="49">
        <v>46087.433680555558</v>
      </c>
      <c r="B214" s="50" t="s">
        <v>40</v>
      </c>
      <c r="C214" s="50" t="s">
        <v>45</v>
      </c>
      <c r="D214" s="50" t="s">
        <v>369</v>
      </c>
      <c r="E214" s="50" t="s">
        <v>61</v>
      </c>
      <c r="F214" s="50" t="s">
        <v>286</v>
      </c>
      <c r="G214" s="50" t="s">
        <v>73</v>
      </c>
      <c r="H214" s="50" t="s">
        <v>395</v>
      </c>
      <c r="I214" s="50" t="s">
        <v>81</v>
      </c>
      <c r="J214" s="50" t="s">
        <v>286</v>
      </c>
      <c r="K214" s="50" t="s">
        <v>287</v>
      </c>
      <c r="L214" s="50" t="s">
        <v>336</v>
      </c>
      <c r="M214" s="50" t="s">
        <v>7</v>
      </c>
      <c r="N214" s="111">
        <v>5</v>
      </c>
      <c r="O214" s="111">
        <v>5</v>
      </c>
      <c r="P214" s="111">
        <v>5</v>
      </c>
      <c r="Q214" s="111">
        <v>5</v>
      </c>
      <c r="R214" s="111">
        <v>5</v>
      </c>
      <c r="S214" s="111">
        <v>5</v>
      </c>
      <c r="T214" s="111">
        <v>5</v>
      </c>
      <c r="U214" s="111">
        <v>5</v>
      </c>
      <c r="V214" s="111">
        <v>5</v>
      </c>
      <c r="W214" s="111">
        <v>5</v>
      </c>
      <c r="X214" s="111">
        <v>5</v>
      </c>
      <c r="Y214" s="111">
        <v>5</v>
      </c>
      <c r="Z214" s="111">
        <v>5</v>
      </c>
      <c r="AA214" s="111">
        <v>5</v>
      </c>
      <c r="AB214" s="111">
        <v>5</v>
      </c>
      <c r="AC214" s="111">
        <v>5</v>
      </c>
      <c r="AD214" s="111">
        <v>5</v>
      </c>
      <c r="AE214" s="111">
        <v>5</v>
      </c>
      <c r="AF214" s="111">
        <v>5</v>
      </c>
      <c r="AG214" s="111">
        <v>5</v>
      </c>
      <c r="AH214" s="111">
        <v>5</v>
      </c>
      <c r="AI214" s="111">
        <v>5</v>
      </c>
      <c r="AJ214" s="111">
        <v>5</v>
      </c>
      <c r="AK214" s="111">
        <v>5</v>
      </c>
      <c r="AL214" s="111">
        <v>5</v>
      </c>
      <c r="AM214" s="111">
        <v>5</v>
      </c>
      <c r="AN214" s="111">
        <v>5</v>
      </c>
      <c r="AO214" s="111">
        <v>5</v>
      </c>
      <c r="AP214" s="111">
        <v>5</v>
      </c>
      <c r="AQ214" s="111">
        <v>5</v>
      </c>
      <c r="AR214" s="111">
        <v>5</v>
      </c>
      <c r="AS214" s="111">
        <v>5</v>
      </c>
      <c r="AT214" s="111">
        <v>5</v>
      </c>
      <c r="AU214" s="111">
        <v>5</v>
      </c>
      <c r="AV214" s="50" t="s">
        <v>199</v>
      </c>
      <c r="AW214" s="50" t="s">
        <v>199</v>
      </c>
      <c r="AX214" s="50" t="s">
        <v>199</v>
      </c>
      <c r="AY214" s="50" t="s">
        <v>200</v>
      </c>
      <c r="AZ214" s="50" t="s">
        <v>200</v>
      </c>
      <c r="BA214" s="50" t="s">
        <v>200</v>
      </c>
      <c r="BB214" s="50" t="s">
        <v>200</v>
      </c>
      <c r="BC214" s="50" t="s">
        <v>200</v>
      </c>
      <c r="BD214" s="50" t="s">
        <v>200</v>
      </c>
      <c r="BE214" s="50" t="s">
        <v>200</v>
      </c>
      <c r="BF214" s="50" t="s">
        <v>200</v>
      </c>
      <c r="BG214" s="50" t="s">
        <v>200</v>
      </c>
      <c r="BH214" s="50" t="s">
        <v>200</v>
      </c>
      <c r="BI214" s="50" t="s">
        <v>200</v>
      </c>
      <c r="BJ214" s="50" t="s">
        <v>200</v>
      </c>
      <c r="BK214" s="50" t="s">
        <v>200</v>
      </c>
      <c r="BL214" s="50" t="s">
        <v>200</v>
      </c>
      <c r="BM214" s="50" t="s">
        <v>436</v>
      </c>
      <c r="BN214" s="50" t="s">
        <v>318</v>
      </c>
      <c r="BO214" s="50" t="s">
        <v>91</v>
      </c>
      <c r="BP214" s="50" t="s">
        <v>286</v>
      </c>
      <c r="BQ214" s="50" t="s">
        <v>287</v>
      </c>
      <c r="BR214" s="50" t="s">
        <v>382</v>
      </c>
      <c r="BS214" s="111">
        <v>4</v>
      </c>
      <c r="BT214" s="50" t="s">
        <v>286</v>
      </c>
      <c r="BU214" s="50" t="s">
        <v>312</v>
      </c>
      <c r="BV214" s="50" t="s">
        <v>288</v>
      </c>
      <c r="BW214" s="50" t="s">
        <v>297</v>
      </c>
      <c r="BX214" s="50" t="s">
        <v>290</v>
      </c>
      <c r="BY214" s="50" t="s">
        <v>288</v>
      </c>
      <c r="BZ214" s="50" t="s">
        <v>287</v>
      </c>
      <c r="CA214" s="50"/>
      <c r="CB214" s="50" t="s">
        <v>287</v>
      </c>
      <c r="CC214" s="50" t="s">
        <v>287</v>
      </c>
      <c r="CD214" s="50" t="s">
        <v>287</v>
      </c>
      <c r="CE214" s="50"/>
      <c r="CF214" s="50" t="s">
        <v>287</v>
      </c>
      <c r="CG214" s="50" t="s">
        <v>287</v>
      </c>
      <c r="CH214" s="50" t="s">
        <v>486</v>
      </c>
      <c r="CI214" s="50" t="s">
        <v>287</v>
      </c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1:97" ht="36.75" customHeight="1" thickBot="1">
      <c r="A215" s="49">
        <v>46087.623356481483</v>
      </c>
      <c r="B215" s="50" t="s">
        <v>40</v>
      </c>
      <c r="C215" s="50" t="s">
        <v>46</v>
      </c>
      <c r="D215" s="50" t="s">
        <v>374</v>
      </c>
      <c r="E215" s="50" t="s">
        <v>63</v>
      </c>
      <c r="F215" s="50" t="s">
        <v>286</v>
      </c>
      <c r="G215" s="50" t="s">
        <v>73</v>
      </c>
      <c r="H215" s="50" t="s">
        <v>349</v>
      </c>
      <c r="I215" s="50" t="s">
        <v>81</v>
      </c>
      <c r="J215" s="50" t="s">
        <v>286</v>
      </c>
      <c r="K215" s="50" t="s">
        <v>287</v>
      </c>
      <c r="L215" s="50" t="s">
        <v>379</v>
      </c>
      <c r="M215" s="50" t="s">
        <v>370</v>
      </c>
      <c r="N215" s="111">
        <v>5</v>
      </c>
      <c r="O215" s="111">
        <v>5</v>
      </c>
      <c r="P215" s="111">
        <v>5</v>
      </c>
      <c r="Q215" s="111">
        <v>6</v>
      </c>
      <c r="R215" s="111">
        <v>6</v>
      </c>
      <c r="S215" s="111">
        <v>6</v>
      </c>
      <c r="T215" s="111">
        <v>5</v>
      </c>
      <c r="U215" s="111">
        <v>5</v>
      </c>
      <c r="V215" s="111">
        <v>6</v>
      </c>
      <c r="W215" s="111">
        <v>6</v>
      </c>
      <c r="X215" s="111">
        <v>6</v>
      </c>
      <c r="Y215" s="111">
        <v>6</v>
      </c>
      <c r="Z215" s="111">
        <v>6</v>
      </c>
      <c r="AA215" s="111">
        <v>6</v>
      </c>
      <c r="AB215" s="111">
        <v>6</v>
      </c>
      <c r="AC215" s="111">
        <v>5</v>
      </c>
      <c r="AD215" s="111">
        <v>5</v>
      </c>
      <c r="AE215" s="111">
        <v>5</v>
      </c>
      <c r="AF215" s="111">
        <v>5</v>
      </c>
      <c r="AG215" s="111">
        <v>5</v>
      </c>
      <c r="AH215" s="111">
        <v>5</v>
      </c>
      <c r="AI215" s="111">
        <v>5</v>
      </c>
      <c r="AJ215" s="111">
        <v>5</v>
      </c>
      <c r="AK215" s="111">
        <v>5</v>
      </c>
      <c r="AL215" s="111">
        <v>5</v>
      </c>
      <c r="AM215" s="111">
        <v>5</v>
      </c>
      <c r="AN215" s="111">
        <v>5</v>
      </c>
      <c r="AO215" s="111">
        <v>5</v>
      </c>
      <c r="AP215" s="111">
        <v>5</v>
      </c>
      <c r="AQ215" s="111">
        <v>6</v>
      </c>
      <c r="AR215" s="111">
        <v>5</v>
      </c>
      <c r="AS215" s="111">
        <v>5</v>
      </c>
      <c r="AT215" s="111">
        <v>5</v>
      </c>
      <c r="AU215" s="111">
        <v>5</v>
      </c>
      <c r="AV215" s="50" t="s">
        <v>202</v>
      </c>
      <c r="AW215" s="50" t="s">
        <v>202</v>
      </c>
      <c r="AX215" s="50" t="s">
        <v>201</v>
      </c>
      <c r="AY215" s="50" t="s">
        <v>199</v>
      </c>
      <c r="AZ215" s="50" t="s">
        <v>202</v>
      </c>
      <c r="BA215" s="50" t="s">
        <v>199</v>
      </c>
      <c r="BB215" s="50" t="s">
        <v>202</v>
      </c>
      <c r="BC215" s="50" t="s">
        <v>202</v>
      </c>
      <c r="BD215" s="50" t="s">
        <v>202</v>
      </c>
      <c r="BE215" s="50" t="s">
        <v>200</v>
      </c>
      <c r="BF215" s="50" t="s">
        <v>201</v>
      </c>
      <c r="BG215" s="50" t="s">
        <v>202</v>
      </c>
      <c r="BH215" s="50" t="s">
        <v>200</v>
      </c>
      <c r="BI215" s="50" t="s">
        <v>202</v>
      </c>
      <c r="BJ215" s="50" t="s">
        <v>202</v>
      </c>
      <c r="BK215" s="50" t="s">
        <v>202</v>
      </c>
      <c r="BL215" s="50" t="s">
        <v>202</v>
      </c>
      <c r="BM215" s="50" t="s">
        <v>436</v>
      </c>
      <c r="BN215" s="50" t="s">
        <v>318</v>
      </c>
      <c r="BO215" s="50" t="s">
        <v>91</v>
      </c>
      <c r="BP215" s="50" t="s">
        <v>286</v>
      </c>
      <c r="BQ215" s="50" t="s">
        <v>287</v>
      </c>
      <c r="BR215" s="50" t="s">
        <v>372</v>
      </c>
      <c r="BS215" s="111">
        <v>5</v>
      </c>
      <c r="BT215" s="50" t="s">
        <v>286</v>
      </c>
      <c r="BU215" s="50" t="s">
        <v>348</v>
      </c>
      <c r="BV215" s="50" t="s">
        <v>288</v>
      </c>
      <c r="BW215" s="50" t="s">
        <v>350</v>
      </c>
      <c r="BX215" s="50" t="s">
        <v>387</v>
      </c>
      <c r="BY215" s="50" t="s">
        <v>288</v>
      </c>
      <c r="BZ215" s="50" t="s">
        <v>287</v>
      </c>
      <c r="CA215" s="50"/>
      <c r="CB215" s="50" t="s">
        <v>287</v>
      </c>
      <c r="CC215" s="50" t="s">
        <v>287</v>
      </c>
      <c r="CD215" s="50" t="s">
        <v>287</v>
      </c>
      <c r="CE215" s="50"/>
      <c r="CF215" s="50" t="s">
        <v>287</v>
      </c>
      <c r="CG215" s="50" t="s">
        <v>287</v>
      </c>
      <c r="CH215" s="50" t="s">
        <v>486</v>
      </c>
      <c r="CI215" s="50" t="s">
        <v>287</v>
      </c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1:97" ht="36.75" customHeight="1" thickBot="1">
      <c r="A216" s="49">
        <v>46087.626550925925</v>
      </c>
      <c r="B216" s="50" t="s">
        <v>40</v>
      </c>
      <c r="C216" s="50" t="s">
        <v>45</v>
      </c>
      <c r="D216" s="50" t="s">
        <v>374</v>
      </c>
      <c r="E216" s="50" t="s">
        <v>61</v>
      </c>
      <c r="F216" s="50" t="s">
        <v>286</v>
      </c>
      <c r="G216" s="50" t="s">
        <v>74</v>
      </c>
      <c r="H216" s="50" t="s">
        <v>347</v>
      </c>
      <c r="I216" s="50" t="s">
        <v>91</v>
      </c>
      <c r="J216" s="50" t="s">
        <v>286</v>
      </c>
      <c r="K216" s="50" t="s">
        <v>287</v>
      </c>
      <c r="L216" s="50" t="s">
        <v>379</v>
      </c>
      <c r="M216" s="50" t="s">
        <v>370</v>
      </c>
      <c r="N216" s="111">
        <v>5</v>
      </c>
      <c r="O216" s="111">
        <v>5</v>
      </c>
      <c r="P216" s="111">
        <v>5</v>
      </c>
      <c r="Q216" s="111">
        <v>5</v>
      </c>
      <c r="R216" s="111">
        <v>6</v>
      </c>
      <c r="S216" s="111">
        <v>6</v>
      </c>
      <c r="T216" s="111">
        <v>5</v>
      </c>
      <c r="U216" s="111">
        <v>5</v>
      </c>
      <c r="V216" s="111">
        <v>6</v>
      </c>
      <c r="W216" s="111">
        <v>6</v>
      </c>
      <c r="X216" s="111">
        <v>6</v>
      </c>
      <c r="Y216" s="111">
        <v>6</v>
      </c>
      <c r="Z216" s="111">
        <v>6</v>
      </c>
      <c r="AA216" s="111">
        <v>6</v>
      </c>
      <c r="AB216" s="111">
        <v>6</v>
      </c>
      <c r="AC216" s="111">
        <v>5</v>
      </c>
      <c r="AD216" s="111">
        <v>5</v>
      </c>
      <c r="AE216" s="111">
        <v>5</v>
      </c>
      <c r="AF216" s="111">
        <v>5</v>
      </c>
      <c r="AG216" s="111">
        <v>5</v>
      </c>
      <c r="AH216" s="111">
        <v>5</v>
      </c>
      <c r="AI216" s="111">
        <v>5</v>
      </c>
      <c r="AJ216" s="111">
        <v>5</v>
      </c>
      <c r="AK216" s="111">
        <v>5</v>
      </c>
      <c r="AL216" s="111">
        <v>5</v>
      </c>
      <c r="AM216" s="111">
        <v>5</v>
      </c>
      <c r="AN216" s="111">
        <v>5</v>
      </c>
      <c r="AO216" s="111">
        <v>5</v>
      </c>
      <c r="AP216" s="111">
        <v>5</v>
      </c>
      <c r="AQ216" s="111">
        <v>6</v>
      </c>
      <c r="AR216" s="111">
        <v>5</v>
      </c>
      <c r="AS216" s="111">
        <v>5</v>
      </c>
      <c r="AT216" s="111">
        <v>5</v>
      </c>
      <c r="AU216" s="111">
        <v>5</v>
      </c>
      <c r="AV216" s="50" t="s">
        <v>202</v>
      </c>
      <c r="AW216" s="50" t="s">
        <v>200</v>
      </c>
      <c r="AX216" s="50" t="s">
        <v>201</v>
      </c>
      <c r="AY216" s="50" t="s">
        <v>199</v>
      </c>
      <c r="AZ216" s="50" t="s">
        <v>202</v>
      </c>
      <c r="BA216" s="50" t="s">
        <v>199</v>
      </c>
      <c r="BB216" s="50" t="s">
        <v>202</v>
      </c>
      <c r="BC216" s="50" t="s">
        <v>202</v>
      </c>
      <c r="BD216" s="50" t="s">
        <v>202</v>
      </c>
      <c r="BE216" s="50" t="s">
        <v>201</v>
      </c>
      <c r="BF216" s="50" t="s">
        <v>201</v>
      </c>
      <c r="BG216" s="50" t="s">
        <v>202</v>
      </c>
      <c r="BH216" s="50" t="s">
        <v>200</v>
      </c>
      <c r="BI216" s="50" t="s">
        <v>202</v>
      </c>
      <c r="BJ216" s="50" t="s">
        <v>202</v>
      </c>
      <c r="BK216" s="50" t="s">
        <v>202</v>
      </c>
      <c r="BL216" s="50" t="s">
        <v>202</v>
      </c>
      <c r="BM216" s="50" t="s">
        <v>436</v>
      </c>
      <c r="BN216" s="50" t="s">
        <v>318</v>
      </c>
      <c r="BO216" s="50" t="s">
        <v>91</v>
      </c>
      <c r="BP216" s="50" t="s">
        <v>286</v>
      </c>
      <c r="BQ216" s="50" t="s">
        <v>287</v>
      </c>
      <c r="BR216" s="50" t="s">
        <v>372</v>
      </c>
      <c r="BS216" s="111">
        <v>5</v>
      </c>
      <c r="BT216" s="50" t="s">
        <v>286</v>
      </c>
      <c r="BU216" s="50" t="s">
        <v>348</v>
      </c>
      <c r="BV216" s="50" t="s">
        <v>288</v>
      </c>
      <c r="BW216" s="50" t="s">
        <v>350</v>
      </c>
      <c r="BX216" s="50" t="s">
        <v>387</v>
      </c>
      <c r="BY216" s="50" t="s">
        <v>288</v>
      </c>
      <c r="BZ216" s="50" t="s">
        <v>287</v>
      </c>
      <c r="CA216" s="50"/>
      <c r="CB216" s="50" t="s">
        <v>287</v>
      </c>
      <c r="CC216" s="50" t="s">
        <v>287</v>
      </c>
      <c r="CD216" s="50" t="s">
        <v>287</v>
      </c>
      <c r="CE216" s="50"/>
      <c r="CF216" s="50" t="s">
        <v>287</v>
      </c>
      <c r="CG216" s="50" t="s">
        <v>287</v>
      </c>
      <c r="CH216" s="50" t="s">
        <v>486</v>
      </c>
      <c r="CI216" s="50" t="s">
        <v>287</v>
      </c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1:97" ht="36.75" customHeight="1" thickBot="1">
      <c r="A217" s="49">
        <v>46087.631076388891</v>
      </c>
      <c r="B217" s="50" t="s">
        <v>40</v>
      </c>
      <c r="C217" s="50" t="s">
        <v>45</v>
      </c>
      <c r="D217" s="50" t="s">
        <v>374</v>
      </c>
      <c r="E217" s="50" t="s">
        <v>61</v>
      </c>
      <c r="F217" s="50" t="s">
        <v>286</v>
      </c>
      <c r="G217" s="50" t="s">
        <v>73</v>
      </c>
      <c r="H217" s="50" t="s">
        <v>309</v>
      </c>
      <c r="I217" s="50" t="s">
        <v>81</v>
      </c>
      <c r="J217" s="50" t="s">
        <v>286</v>
      </c>
      <c r="K217" s="50" t="s">
        <v>287</v>
      </c>
      <c r="L217" s="50" t="s">
        <v>379</v>
      </c>
      <c r="M217" s="50" t="s">
        <v>370</v>
      </c>
      <c r="N217" s="111">
        <v>5</v>
      </c>
      <c r="O217" s="111">
        <v>5</v>
      </c>
      <c r="P217" s="111">
        <v>5</v>
      </c>
      <c r="Q217" s="111">
        <v>5</v>
      </c>
      <c r="R217" s="111">
        <v>6</v>
      </c>
      <c r="S217" s="111">
        <v>6</v>
      </c>
      <c r="T217" s="111">
        <v>4</v>
      </c>
      <c r="U217" s="111">
        <v>5</v>
      </c>
      <c r="V217" s="111">
        <v>6</v>
      </c>
      <c r="W217" s="111">
        <v>6</v>
      </c>
      <c r="X217" s="111">
        <v>6</v>
      </c>
      <c r="Y217" s="111">
        <v>6</v>
      </c>
      <c r="Z217" s="111">
        <v>6</v>
      </c>
      <c r="AA217" s="111">
        <v>6</v>
      </c>
      <c r="AB217" s="111">
        <v>6</v>
      </c>
      <c r="AC217" s="111">
        <v>5</v>
      </c>
      <c r="AD217" s="111">
        <v>5</v>
      </c>
      <c r="AE217" s="111">
        <v>5</v>
      </c>
      <c r="AF217" s="111">
        <v>5</v>
      </c>
      <c r="AG217" s="111">
        <v>5</v>
      </c>
      <c r="AH217" s="111">
        <v>5</v>
      </c>
      <c r="AI217" s="111">
        <v>5</v>
      </c>
      <c r="AJ217" s="111">
        <v>5</v>
      </c>
      <c r="AK217" s="111">
        <v>5</v>
      </c>
      <c r="AL217" s="111">
        <v>5</v>
      </c>
      <c r="AM217" s="111">
        <v>5</v>
      </c>
      <c r="AN217" s="111">
        <v>5</v>
      </c>
      <c r="AO217" s="111">
        <v>5</v>
      </c>
      <c r="AP217" s="111">
        <v>5</v>
      </c>
      <c r="AQ217" s="111">
        <v>6</v>
      </c>
      <c r="AR217" s="111">
        <v>5</v>
      </c>
      <c r="AS217" s="111">
        <v>5</v>
      </c>
      <c r="AT217" s="111">
        <v>5</v>
      </c>
      <c r="AU217" s="111">
        <v>5</v>
      </c>
      <c r="AV217" s="50" t="s">
        <v>202</v>
      </c>
      <c r="AW217" s="50" t="s">
        <v>200</v>
      </c>
      <c r="AX217" s="50" t="s">
        <v>201</v>
      </c>
      <c r="AY217" s="50" t="s">
        <v>199</v>
      </c>
      <c r="AZ217" s="50" t="s">
        <v>202</v>
      </c>
      <c r="BA217" s="50" t="s">
        <v>199</v>
      </c>
      <c r="BB217" s="50" t="s">
        <v>202</v>
      </c>
      <c r="BC217" s="50" t="s">
        <v>202</v>
      </c>
      <c r="BD217" s="50" t="s">
        <v>202</v>
      </c>
      <c r="BE217" s="50" t="s">
        <v>200</v>
      </c>
      <c r="BF217" s="50" t="s">
        <v>201</v>
      </c>
      <c r="BG217" s="50" t="s">
        <v>202</v>
      </c>
      <c r="BH217" s="50" t="s">
        <v>200</v>
      </c>
      <c r="BI217" s="50" t="s">
        <v>202</v>
      </c>
      <c r="BJ217" s="50" t="s">
        <v>202</v>
      </c>
      <c r="BK217" s="50" t="s">
        <v>202</v>
      </c>
      <c r="BL217" s="50" t="s">
        <v>202</v>
      </c>
      <c r="BM217" s="50" t="s">
        <v>436</v>
      </c>
      <c r="BN217" s="50" t="s">
        <v>460</v>
      </c>
      <c r="BO217" s="50" t="s">
        <v>91</v>
      </c>
      <c r="BP217" s="50" t="s">
        <v>286</v>
      </c>
      <c r="BQ217" s="50" t="s">
        <v>287</v>
      </c>
      <c r="BR217" s="50" t="s">
        <v>372</v>
      </c>
      <c r="BS217" s="111">
        <v>5</v>
      </c>
      <c r="BT217" s="50" t="s">
        <v>286</v>
      </c>
      <c r="BU217" s="50" t="s">
        <v>348</v>
      </c>
      <c r="BV217" s="50" t="s">
        <v>288</v>
      </c>
      <c r="BW217" s="50" t="s">
        <v>350</v>
      </c>
      <c r="BX217" s="50" t="s">
        <v>387</v>
      </c>
      <c r="BY217" s="50" t="s">
        <v>288</v>
      </c>
      <c r="BZ217" s="50" t="s">
        <v>287</v>
      </c>
      <c r="CA217" s="50"/>
      <c r="CB217" s="50" t="s">
        <v>287</v>
      </c>
      <c r="CC217" s="50" t="s">
        <v>287</v>
      </c>
      <c r="CD217" s="50" t="s">
        <v>287</v>
      </c>
      <c r="CE217" s="50"/>
      <c r="CF217" s="50" t="s">
        <v>287</v>
      </c>
      <c r="CG217" s="50" t="s">
        <v>287</v>
      </c>
      <c r="CH217" s="50" t="s">
        <v>486</v>
      </c>
      <c r="CI217" s="50" t="s">
        <v>287</v>
      </c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1:97" ht="36.75" customHeight="1" thickBot="1">
      <c r="A218" s="49">
        <v>46090.230682870373</v>
      </c>
      <c r="B218" s="50" t="s">
        <v>40</v>
      </c>
      <c r="C218" s="50" t="s">
        <v>45</v>
      </c>
      <c r="D218" s="50" t="s">
        <v>374</v>
      </c>
      <c r="E218" s="50" t="s">
        <v>60</v>
      </c>
      <c r="F218" s="50" t="s">
        <v>286</v>
      </c>
      <c r="G218" s="50" t="s">
        <v>73</v>
      </c>
      <c r="H218" s="50" t="s">
        <v>314</v>
      </c>
      <c r="I218" s="50" t="s">
        <v>81</v>
      </c>
      <c r="J218" s="50" t="s">
        <v>286</v>
      </c>
      <c r="K218" s="50" t="s">
        <v>287</v>
      </c>
      <c r="L218" s="50" t="s">
        <v>315</v>
      </c>
      <c r="M218" s="50" t="s">
        <v>311</v>
      </c>
      <c r="N218" s="111">
        <v>5</v>
      </c>
      <c r="O218" s="111">
        <v>5</v>
      </c>
      <c r="P218" s="111">
        <v>5</v>
      </c>
      <c r="Q218" s="111">
        <v>5</v>
      </c>
      <c r="R218" s="111">
        <v>5</v>
      </c>
      <c r="S218" s="111">
        <v>5</v>
      </c>
      <c r="T218" s="111">
        <v>5</v>
      </c>
      <c r="U218" s="111">
        <v>5</v>
      </c>
      <c r="V218" s="111">
        <v>5</v>
      </c>
      <c r="W218" s="111">
        <v>5</v>
      </c>
      <c r="X218" s="111">
        <v>5</v>
      </c>
      <c r="Y218" s="111">
        <v>5</v>
      </c>
      <c r="Z218" s="111">
        <v>5</v>
      </c>
      <c r="AA218" s="111">
        <v>5</v>
      </c>
      <c r="AB218" s="111">
        <v>5</v>
      </c>
      <c r="AC218" s="111">
        <v>5</v>
      </c>
      <c r="AD218" s="111">
        <v>5</v>
      </c>
      <c r="AE218" s="111">
        <v>5</v>
      </c>
      <c r="AF218" s="111">
        <v>5</v>
      </c>
      <c r="AG218" s="111">
        <v>5</v>
      </c>
      <c r="AH218" s="111">
        <v>5</v>
      </c>
      <c r="AI218" s="111">
        <v>5</v>
      </c>
      <c r="AJ218" s="111">
        <v>5</v>
      </c>
      <c r="AK218" s="111">
        <v>5</v>
      </c>
      <c r="AL218" s="111">
        <v>5</v>
      </c>
      <c r="AM218" s="111">
        <v>5</v>
      </c>
      <c r="AN218" s="111">
        <v>5</v>
      </c>
      <c r="AO218" s="111">
        <v>5</v>
      </c>
      <c r="AP218" s="111">
        <v>5</v>
      </c>
      <c r="AQ218" s="111">
        <v>5</v>
      </c>
      <c r="AR218" s="111">
        <v>5</v>
      </c>
      <c r="AS218" s="111">
        <v>5</v>
      </c>
      <c r="AT218" s="111">
        <v>5</v>
      </c>
      <c r="AU218" s="111">
        <v>5</v>
      </c>
      <c r="AV218" s="50" t="s">
        <v>199</v>
      </c>
      <c r="AW218" s="50" t="s">
        <v>199</v>
      </c>
      <c r="AX218" s="50" t="s">
        <v>199</v>
      </c>
      <c r="AY218" s="50" t="s">
        <v>200</v>
      </c>
      <c r="AZ218" s="50" t="s">
        <v>200</v>
      </c>
      <c r="BA218" s="50" t="s">
        <v>200</v>
      </c>
      <c r="BB218" s="50" t="s">
        <v>200</v>
      </c>
      <c r="BC218" s="50" t="s">
        <v>200</v>
      </c>
      <c r="BD218" s="50" t="s">
        <v>200</v>
      </c>
      <c r="BE218" s="50" t="s">
        <v>200</v>
      </c>
      <c r="BF218" s="50" t="s">
        <v>200</v>
      </c>
      <c r="BG218" s="50" t="s">
        <v>200</v>
      </c>
      <c r="BH218" s="50" t="s">
        <v>200</v>
      </c>
      <c r="BI218" s="50" t="s">
        <v>200</v>
      </c>
      <c r="BJ218" s="50" t="s">
        <v>200</v>
      </c>
      <c r="BK218" s="50" t="s">
        <v>200</v>
      </c>
      <c r="BL218" s="50" t="s">
        <v>200</v>
      </c>
      <c r="BM218" s="50" t="s">
        <v>436</v>
      </c>
      <c r="BN218" s="50" t="s">
        <v>551</v>
      </c>
      <c r="BO218" s="50" t="s">
        <v>91</v>
      </c>
      <c r="BP218" s="50" t="s">
        <v>286</v>
      </c>
      <c r="BQ218" s="50" t="s">
        <v>287</v>
      </c>
      <c r="BR218" s="50" t="s">
        <v>403</v>
      </c>
      <c r="BS218" s="111">
        <v>5</v>
      </c>
      <c r="BT218" s="50" t="s">
        <v>286</v>
      </c>
      <c r="BU218" s="50" t="s">
        <v>312</v>
      </c>
      <c r="BV218" s="50" t="s">
        <v>288</v>
      </c>
      <c r="BW218" s="50" t="s">
        <v>303</v>
      </c>
      <c r="BX218" s="50" t="s">
        <v>290</v>
      </c>
      <c r="BY218" s="50" t="s">
        <v>288</v>
      </c>
      <c r="BZ218" s="50" t="s">
        <v>287</v>
      </c>
      <c r="CA218" s="50"/>
      <c r="CB218" s="50" t="s">
        <v>287</v>
      </c>
      <c r="CC218" s="50" t="s">
        <v>287</v>
      </c>
      <c r="CD218" s="50" t="s">
        <v>287</v>
      </c>
      <c r="CE218" s="50"/>
      <c r="CF218" s="50" t="s">
        <v>287</v>
      </c>
      <c r="CG218" s="50" t="s">
        <v>287</v>
      </c>
      <c r="CH218" s="50" t="s">
        <v>486</v>
      </c>
      <c r="CI218" s="50" t="s">
        <v>287</v>
      </c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1:97" ht="36.75" customHeight="1" thickBot="1">
      <c r="A219" s="49">
        <v>46090.237071759257</v>
      </c>
      <c r="B219" s="50" t="s">
        <v>38</v>
      </c>
      <c r="C219" s="50" t="s">
        <v>46</v>
      </c>
      <c r="D219" s="50" t="s">
        <v>369</v>
      </c>
      <c r="E219" s="50" t="s">
        <v>61</v>
      </c>
      <c r="F219" s="50" t="s">
        <v>286</v>
      </c>
      <c r="G219" s="50" t="s">
        <v>73</v>
      </c>
      <c r="H219" s="50" t="s">
        <v>314</v>
      </c>
      <c r="I219" s="50" t="s">
        <v>92</v>
      </c>
      <c r="J219" s="50" t="s">
        <v>286</v>
      </c>
      <c r="K219" s="50" t="s">
        <v>287</v>
      </c>
      <c r="L219" s="50" t="s">
        <v>315</v>
      </c>
      <c r="M219" s="50" t="s">
        <v>311</v>
      </c>
      <c r="N219" s="111">
        <v>5</v>
      </c>
      <c r="O219" s="111">
        <v>5</v>
      </c>
      <c r="P219" s="111">
        <v>5</v>
      </c>
      <c r="Q219" s="111">
        <v>5</v>
      </c>
      <c r="R219" s="111">
        <v>5</v>
      </c>
      <c r="S219" s="111">
        <v>5</v>
      </c>
      <c r="T219" s="111">
        <v>5</v>
      </c>
      <c r="U219" s="111">
        <v>5</v>
      </c>
      <c r="V219" s="111">
        <v>5</v>
      </c>
      <c r="W219" s="111">
        <v>5</v>
      </c>
      <c r="X219" s="111">
        <v>5</v>
      </c>
      <c r="Y219" s="111">
        <v>5</v>
      </c>
      <c r="Z219" s="111">
        <v>5</v>
      </c>
      <c r="AA219" s="111">
        <v>5</v>
      </c>
      <c r="AB219" s="111">
        <v>5</v>
      </c>
      <c r="AC219" s="111">
        <v>5</v>
      </c>
      <c r="AD219" s="111">
        <v>5</v>
      </c>
      <c r="AE219" s="111">
        <v>5</v>
      </c>
      <c r="AF219" s="111">
        <v>5</v>
      </c>
      <c r="AG219" s="111">
        <v>5</v>
      </c>
      <c r="AH219" s="111">
        <v>5</v>
      </c>
      <c r="AI219" s="111">
        <v>5</v>
      </c>
      <c r="AJ219" s="111">
        <v>5</v>
      </c>
      <c r="AK219" s="111">
        <v>5</v>
      </c>
      <c r="AL219" s="111">
        <v>5</v>
      </c>
      <c r="AM219" s="111">
        <v>5</v>
      </c>
      <c r="AN219" s="111">
        <v>5</v>
      </c>
      <c r="AO219" s="111">
        <v>5</v>
      </c>
      <c r="AP219" s="111">
        <v>5</v>
      </c>
      <c r="AQ219" s="111">
        <v>5</v>
      </c>
      <c r="AR219" s="111">
        <v>5</v>
      </c>
      <c r="AS219" s="111">
        <v>5</v>
      </c>
      <c r="AT219" s="111">
        <v>5</v>
      </c>
      <c r="AU219" s="111">
        <v>5</v>
      </c>
      <c r="AV219" s="50" t="s">
        <v>199</v>
      </c>
      <c r="AW219" s="50" t="s">
        <v>199</v>
      </c>
      <c r="AX219" s="50" t="s">
        <v>199</v>
      </c>
      <c r="AY219" s="50" t="s">
        <v>200</v>
      </c>
      <c r="AZ219" s="50" t="s">
        <v>200</v>
      </c>
      <c r="BA219" s="50" t="s">
        <v>200</v>
      </c>
      <c r="BB219" s="50" t="s">
        <v>200</v>
      </c>
      <c r="BC219" s="50" t="s">
        <v>200</v>
      </c>
      <c r="BD219" s="50" t="s">
        <v>200</v>
      </c>
      <c r="BE219" s="50" t="s">
        <v>200</v>
      </c>
      <c r="BF219" s="50" t="s">
        <v>200</v>
      </c>
      <c r="BG219" s="50" t="s">
        <v>200</v>
      </c>
      <c r="BH219" s="50" t="s">
        <v>200</v>
      </c>
      <c r="BI219" s="50" t="s">
        <v>200</v>
      </c>
      <c r="BJ219" s="50" t="s">
        <v>200</v>
      </c>
      <c r="BK219" s="50" t="s">
        <v>200</v>
      </c>
      <c r="BL219" s="50" t="s">
        <v>200</v>
      </c>
      <c r="BM219" s="50" t="s">
        <v>436</v>
      </c>
      <c r="BN219" s="50" t="s">
        <v>318</v>
      </c>
      <c r="BO219" s="50" t="s">
        <v>91</v>
      </c>
      <c r="BP219" s="50" t="s">
        <v>286</v>
      </c>
      <c r="BQ219" s="50" t="s">
        <v>287</v>
      </c>
      <c r="BR219" s="50" t="s">
        <v>403</v>
      </c>
      <c r="BS219" s="111">
        <v>5</v>
      </c>
      <c r="BT219" s="50" t="s">
        <v>286</v>
      </c>
      <c r="BU219" s="50" t="s">
        <v>312</v>
      </c>
      <c r="BV219" s="50" t="s">
        <v>288</v>
      </c>
      <c r="BW219" s="50" t="s">
        <v>304</v>
      </c>
      <c r="BX219" s="50" t="s">
        <v>290</v>
      </c>
      <c r="BY219" s="50" t="s">
        <v>288</v>
      </c>
      <c r="BZ219" s="50" t="s">
        <v>287</v>
      </c>
      <c r="CA219" s="50"/>
      <c r="CB219" s="50" t="s">
        <v>287</v>
      </c>
      <c r="CC219" s="50" t="s">
        <v>287</v>
      </c>
      <c r="CD219" s="50" t="s">
        <v>287</v>
      </c>
      <c r="CE219" s="50"/>
      <c r="CF219" s="50" t="s">
        <v>287</v>
      </c>
      <c r="CG219" s="50" t="s">
        <v>287</v>
      </c>
      <c r="CH219" s="50" t="s">
        <v>486</v>
      </c>
      <c r="CI219" s="50" t="s">
        <v>287</v>
      </c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1:97" ht="36.75" customHeight="1" thickBot="1">
      <c r="A220" s="49">
        <v>46090.240219907406</v>
      </c>
      <c r="B220" s="50" t="s">
        <v>33</v>
      </c>
      <c r="C220" s="50" t="s">
        <v>45</v>
      </c>
      <c r="D220" s="50" t="s">
        <v>369</v>
      </c>
      <c r="E220" s="50" t="s">
        <v>285</v>
      </c>
      <c r="F220" s="50" t="s">
        <v>286</v>
      </c>
      <c r="G220" s="50" t="s">
        <v>73</v>
      </c>
      <c r="H220" s="50" t="s">
        <v>552</v>
      </c>
      <c r="I220" s="50" t="s">
        <v>295</v>
      </c>
      <c r="J220" s="50" t="s">
        <v>286</v>
      </c>
      <c r="K220" s="50" t="s">
        <v>287</v>
      </c>
      <c r="L220" s="50" t="s">
        <v>310</v>
      </c>
      <c r="M220" s="50" t="s">
        <v>311</v>
      </c>
      <c r="N220" s="111">
        <v>5</v>
      </c>
      <c r="O220" s="111">
        <v>5</v>
      </c>
      <c r="P220" s="111">
        <v>5</v>
      </c>
      <c r="Q220" s="111">
        <v>5</v>
      </c>
      <c r="R220" s="111">
        <v>5</v>
      </c>
      <c r="S220" s="111">
        <v>5</v>
      </c>
      <c r="T220" s="111">
        <v>5</v>
      </c>
      <c r="U220" s="111">
        <v>5</v>
      </c>
      <c r="V220" s="111">
        <v>5</v>
      </c>
      <c r="W220" s="111">
        <v>5</v>
      </c>
      <c r="X220" s="111">
        <v>5</v>
      </c>
      <c r="Y220" s="111">
        <v>5</v>
      </c>
      <c r="Z220" s="111">
        <v>5</v>
      </c>
      <c r="AA220" s="111">
        <v>5</v>
      </c>
      <c r="AB220" s="111">
        <v>5</v>
      </c>
      <c r="AC220" s="111">
        <v>5</v>
      </c>
      <c r="AD220" s="111">
        <v>5</v>
      </c>
      <c r="AE220" s="111">
        <v>5</v>
      </c>
      <c r="AF220" s="111">
        <v>5</v>
      </c>
      <c r="AG220" s="111">
        <v>5</v>
      </c>
      <c r="AH220" s="111">
        <v>5</v>
      </c>
      <c r="AI220" s="111">
        <v>5</v>
      </c>
      <c r="AJ220" s="111">
        <v>5</v>
      </c>
      <c r="AK220" s="111">
        <v>5</v>
      </c>
      <c r="AL220" s="111">
        <v>5</v>
      </c>
      <c r="AM220" s="111">
        <v>5</v>
      </c>
      <c r="AN220" s="111">
        <v>5</v>
      </c>
      <c r="AO220" s="111">
        <v>5</v>
      </c>
      <c r="AP220" s="111">
        <v>5</v>
      </c>
      <c r="AQ220" s="111">
        <v>5</v>
      </c>
      <c r="AR220" s="111">
        <v>5</v>
      </c>
      <c r="AS220" s="111">
        <v>5</v>
      </c>
      <c r="AT220" s="111">
        <v>5</v>
      </c>
      <c r="AU220" s="111">
        <v>5</v>
      </c>
      <c r="AV220" s="50" t="s">
        <v>199</v>
      </c>
      <c r="AW220" s="50" t="s">
        <v>199</v>
      </c>
      <c r="AX220" s="50" t="s">
        <v>199</v>
      </c>
      <c r="AY220" s="50" t="s">
        <v>200</v>
      </c>
      <c r="AZ220" s="50" t="s">
        <v>200</v>
      </c>
      <c r="BA220" s="50" t="s">
        <v>200</v>
      </c>
      <c r="BB220" s="50" t="s">
        <v>200</v>
      </c>
      <c r="BC220" s="50" t="s">
        <v>200</v>
      </c>
      <c r="BD220" s="50" t="s">
        <v>200</v>
      </c>
      <c r="BE220" s="50" t="s">
        <v>200</v>
      </c>
      <c r="BF220" s="50" t="s">
        <v>200</v>
      </c>
      <c r="BG220" s="50" t="s">
        <v>200</v>
      </c>
      <c r="BH220" s="50" t="s">
        <v>200</v>
      </c>
      <c r="BI220" s="50" t="s">
        <v>200</v>
      </c>
      <c r="BJ220" s="50" t="s">
        <v>200</v>
      </c>
      <c r="BK220" s="50" t="s">
        <v>200</v>
      </c>
      <c r="BL220" s="50" t="s">
        <v>200</v>
      </c>
      <c r="BM220" s="50" t="s">
        <v>436</v>
      </c>
      <c r="BN220" s="50" t="s">
        <v>318</v>
      </c>
      <c r="BO220" s="50" t="s">
        <v>91</v>
      </c>
      <c r="BP220" s="50" t="s">
        <v>286</v>
      </c>
      <c r="BQ220" s="50" t="s">
        <v>287</v>
      </c>
      <c r="BR220" s="50" t="s">
        <v>382</v>
      </c>
      <c r="BS220" s="111">
        <v>5</v>
      </c>
      <c r="BT220" s="50" t="s">
        <v>286</v>
      </c>
      <c r="BU220" s="50" t="s">
        <v>312</v>
      </c>
      <c r="BV220" s="50" t="s">
        <v>288</v>
      </c>
      <c r="BW220" s="50" t="s">
        <v>303</v>
      </c>
      <c r="BX220" s="50" t="s">
        <v>296</v>
      </c>
      <c r="BY220" s="50" t="s">
        <v>288</v>
      </c>
      <c r="BZ220" s="50" t="s">
        <v>287</v>
      </c>
      <c r="CA220" s="50"/>
      <c r="CB220" s="50" t="s">
        <v>287</v>
      </c>
      <c r="CC220" s="50" t="s">
        <v>287</v>
      </c>
      <c r="CD220" s="50" t="s">
        <v>287</v>
      </c>
      <c r="CE220" s="50"/>
      <c r="CF220" s="50" t="s">
        <v>287</v>
      </c>
      <c r="CG220" s="50" t="s">
        <v>287</v>
      </c>
      <c r="CH220" s="50" t="s">
        <v>486</v>
      </c>
      <c r="CI220" s="50" t="s">
        <v>287</v>
      </c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1:97" ht="36.75" customHeight="1" thickBot="1">
      <c r="A221" s="49">
        <v>46090.241886574076</v>
      </c>
      <c r="B221" s="50" t="s">
        <v>40</v>
      </c>
      <c r="C221" s="50" t="s">
        <v>46</v>
      </c>
      <c r="D221" s="50" t="s">
        <v>369</v>
      </c>
      <c r="E221" s="50" t="s">
        <v>285</v>
      </c>
      <c r="F221" s="50" t="s">
        <v>286</v>
      </c>
      <c r="G221" s="50" t="s">
        <v>73</v>
      </c>
      <c r="H221" s="50" t="s">
        <v>298</v>
      </c>
      <c r="I221" s="50" t="s">
        <v>81</v>
      </c>
      <c r="J221" s="50" t="s">
        <v>286</v>
      </c>
      <c r="K221" s="50" t="s">
        <v>287</v>
      </c>
      <c r="L221" s="50" t="s">
        <v>310</v>
      </c>
      <c r="M221" s="50" t="s">
        <v>311</v>
      </c>
      <c r="N221" s="111">
        <v>5</v>
      </c>
      <c r="O221" s="111">
        <v>5</v>
      </c>
      <c r="P221" s="111">
        <v>5</v>
      </c>
      <c r="Q221" s="111">
        <v>5</v>
      </c>
      <c r="R221" s="111">
        <v>5</v>
      </c>
      <c r="S221" s="111">
        <v>5</v>
      </c>
      <c r="T221" s="111">
        <v>5</v>
      </c>
      <c r="U221" s="111">
        <v>5</v>
      </c>
      <c r="V221" s="111">
        <v>5</v>
      </c>
      <c r="W221" s="111">
        <v>5</v>
      </c>
      <c r="X221" s="111">
        <v>5</v>
      </c>
      <c r="Y221" s="111">
        <v>5</v>
      </c>
      <c r="Z221" s="111">
        <v>5</v>
      </c>
      <c r="AA221" s="111">
        <v>5</v>
      </c>
      <c r="AB221" s="111">
        <v>5</v>
      </c>
      <c r="AC221" s="111">
        <v>5</v>
      </c>
      <c r="AD221" s="111">
        <v>5</v>
      </c>
      <c r="AE221" s="111">
        <v>5</v>
      </c>
      <c r="AF221" s="111">
        <v>5</v>
      </c>
      <c r="AG221" s="111">
        <v>5</v>
      </c>
      <c r="AH221" s="111">
        <v>5</v>
      </c>
      <c r="AI221" s="111">
        <v>5</v>
      </c>
      <c r="AJ221" s="111">
        <v>5</v>
      </c>
      <c r="AK221" s="111">
        <v>5</v>
      </c>
      <c r="AL221" s="111">
        <v>5</v>
      </c>
      <c r="AM221" s="111">
        <v>5</v>
      </c>
      <c r="AN221" s="111">
        <v>5</v>
      </c>
      <c r="AO221" s="111">
        <v>5</v>
      </c>
      <c r="AP221" s="111">
        <v>5</v>
      </c>
      <c r="AQ221" s="111">
        <v>5</v>
      </c>
      <c r="AR221" s="111">
        <v>5</v>
      </c>
      <c r="AS221" s="111">
        <v>5</v>
      </c>
      <c r="AT221" s="111">
        <v>5</v>
      </c>
      <c r="AU221" s="111">
        <v>5</v>
      </c>
      <c r="AV221" s="50" t="s">
        <v>199</v>
      </c>
      <c r="AW221" s="50" t="s">
        <v>199</v>
      </c>
      <c r="AX221" s="50" t="s">
        <v>199</v>
      </c>
      <c r="AY221" s="50" t="s">
        <v>200</v>
      </c>
      <c r="AZ221" s="50" t="s">
        <v>200</v>
      </c>
      <c r="BA221" s="50" t="s">
        <v>200</v>
      </c>
      <c r="BB221" s="50" t="s">
        <v>200</v>
      </c>
      <c r="BC221" s="50" t="s">
        <v>200</v>
      </c>
      <c r="BD221" s="50" t="s">
        <v>200</v>
      </c>
      <c r="BE221" s="50" t="s">
        <v>200</v>
      </c>
      <c r="BF221" s="50" t="s">
        <v>200</v>
      </c>
      <c r="BG221" s="50" t="s">
        <v>200</v>
      </c>
      <c r="BH221" s="50" t="s">
        <v>200</v>
      </c>
      <c r="BI221" s="50" t="s">
        <v>200</v>
      </c>
      <c r="BJ221" s="50" t="s">
        <v>200</v>
      </c>
      <c r="BK221" s="50" t="s">
        <v>200</v>
      </c>
      <c r="BL221" s="50" t="s">
        <v>200</v>
      </c>
      <c r="BM221" s="50" t="s">
        <v>436</v>
      </c>
      <c r="BN221" s="50" t="s">
        <v>318</v>
      </c>
      <c r="BO221" s="50" t="s">
        <v>428</v>
      </c>
      <c r="BP221" s="50" t="s">
        <v>286</v>
      </c>
      <c r="BQ221" s="50" t="s">
        <v>287</v>
      </c>
      <c r="BR221" s="50" t="s">
        <v>410</v>
      </c>
      <c r="BS221" s="111">
        <v>5</v>
      </c>
      <c r="BT221" s="50" t="s">
        <v>286</v>
      </c>
      <c r="BU221" s="50" t="s">
        <v>312</v>
      </c>
      <c r="BV221" s="50" t="s">
        <v>288</v>
      </c>
      <c r="BW221" s="50" t="s">
        <v>289</v>
      </c>
      <c r="BX221" s="50" t="s">
        <v>300</v>
      </c>
      <c r="BY221" s="50" t="s">
        <v>288</v>
      </c>
      <c r="BZ221" s="50" t="s">
        <v>287</v>
      </c>
      <c r="CA221" s="50"/>
      <c r="CB221" s="50" t="s">
        <v>287</v>
      </c>
      <c r="CC221" s="50" t="s">
        <v>287</v>
      </c>
      <c r="CD221" s="50" t="s">
        <v>287</v>
      </c>
      <c r="CE221" s="50"/>
      <c r="CF221" s="50" t="s">
        <v>287</v>
      </c>
      <c r="CG221" s="50" t="s">
        <v>287</v>
      </c>
      <c r="CH221" s="50" t="s">
        <v>486</v>
      </c>
      <c r="CI221" s="50" t="s">
        <v>287</v>
      </c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1:97" ht="36.75" customHeight="1" thickBot="1">
      <c r="A222" s="49">
        <v>46090.264861111114</v>
      </c>
      <c r="B222" s="50" t="s">
        <v>40</v>
      </c>
      <c r="C222" s="50" t="s">
        <v>45</v>
      </c>
      <c r="D222" s="50" t="s">
        <v>374</v>
      </c>
      <c r="E222" s="50" t="s">
        <v>61</v>
      </c>
      <c r="F222" s="50" t="s">
        <v>286</v>
      </c>
      <c r="G222" s="50" t="s">
        <v>73</v>
      </c>
      <c r="H222" s="50" t="s">
        <v>332</v>
      </c>
      <c r="I222" s="50" t="s">
        <v>81</v>
      </c>
      <c r="J222" s="50" t="s">
        <v>286</v>
      </c>
      <c r="K222" s="50" t="s">
        <v>287</v>
      </c>
      <c r="L222" s="50" t="s">
        <v>317</v>
      </c>
      <c r="M222" s="50" t="s">
        <v>316</v>
      </c>
      <c r="N222" s="111">
        <v>5</v>
      </c>
      <c r="O222" s="111">
        <v>5</v>
      </c>
      <c r="P222" s="111">
        <v>5</v>
      </c>
      <c r="Q222" s="111">
        <v>5</v>
      </c>
      <c r="R222" s="111">
        <v>5</v>
      </c>
      <c r="S222" s="111">
        <v>5</v>
      </c>
      <c r="T222" s="111">
        <v>5</v>
      </c>
      <c r="U222" s="111">
        <v>5</v>
      </c>
      <c r="V222" s="111">
        <v>5</v>
      </c>
      <c r="W222" s="111">
        <v>5</v>
      </c>
      <c r="X222" s="111">
        <v>5</v>
      </c>
      <c r="Y222" s="111">
        <v>5</v>
      </c>
      <c r="Z222" s="111">
        <v>5</v>
      </c>
      <c r="AA222" s="111">
        <v>5</v>
      </c>
      <c r="AB222" s="111">
        <v>5</v>
      </c>
      <c r="AC222" s="111">
        <v>5</v>
      </c>
      <c r="AD222" s="111">
        <v>5</v>
      </c>
      <c r="AE222" s="111">
        <v>5</v>
      </c>
      <c r="AF222" s="111">
        <v>5</v>
      </c>
      <c r="AG222" s="111">
        <v>5</v>
      </c>
      <c r="AH222" s="111">
        <v>5</v>
      </c>
      <c r="AI222" s="111">
        <v>5</v>
      </c>
      <c r="AJ222" s="111">
        <v>5</v>
      </c>
      <c r="AK222" s="111">
        <v>5</v>
      </c>
      <c r="AL222" s="111">
        <v>5</v>
      </c>
      <c r="AM222" s="111">
        <v>5</v>
      </c>
      <c r="AN222" s="111">
        <v>5</v>
      </c>
      <c r="AO222" s="111">
        <v>5</v>
      </c>
      <c r="AP222" s="111">
        <v>5</v>
      </c>
      <c r="AQ222" s="111">
        <v>5</v>
      </c>
      <c r="AR222" s="111">
        <v>5</v>
      </c>
      <c r="AS222" s="111">
        <v>5</v>
      </c>
      <c r="AT222" s="111">
        <v>5</v>
      </c>
      <c r="AU222" s="111">
        <v>5</v>
      </c>
      <c r="AV222" s="50" t="s">
        <v>199</v>
      </c>
      <c r="AW222" s="50" t="s">
        <v>199</v>
      </c>
      <c r="AX222" s="50" t="s">
        <v>199</v>
      </c>
      <c r="AY222" s="50" t="s">
        <v>200</v>
      </c>
      <c r="AZ222" s="50" t="s">
        <v>200</v>
      </c>
      <c r="BA222" s="50" t="s">
        <v>200</v>
      </c>
      <c r="BB222" s="50" t="s">
        <v>200</v>
      </c>
      <c r="BC222" s="50" t="s">
        <v>200</v>
      </c>
      <c r="BD222" s="50" t="s">
        <v>200</v>
      </c>
      <c r="BE222" s="50" t="s">
        <v>200</v>
      </c>
      <c r="BF222" s="50" t="s">
        <v>200</v>
      </c>
      <c r="BG222" s="50" t="s">
        <v>200</v>
      </c>
      <c r="BH222" s="50" t="s">
        <v>200</v>
      </c>
      <c r="BI222" s="50" t="s">
        <v>200</v>
      </c>
      <c r="BJ222" s="50" t="s">
        <v>200</v>
      </c>
      <c r="BK222" s="50" t="s">
        <v>200</v>
      </c>
      <c r="BL222" s="50" t="s">
        <v>200</v>
      </c>
      <c r="BM222" s="50" t="s">
        <v>436</v>
      </c>
      <c r="BN222" s="50" t="s">
        <v>318</v>
      </c>
      <c r="BO222" s="50" t="s">
        <v>428</v>
      </c>
      <c r="BP222" s="50" t="s">
        <v>286</v>
      </c>
      <c r="BQ222" s="50" t="s">
        <v>287</v>
      </c>
      <c r="BR222" s="50" t="s">
        <v>406</v>
      </c>
      <c r="BS222" s="111">
        <v>5</v>
      </c>
      <c r="BT222" s="50" t="s">
        <v>286</v>
      </c>
      <c r="BU222" s="50" t="s">
        <v>312</v>
      </c>
      <c r="BV222" s="50" t="s">
        <v>288</v>
      </c>
      <c r="BW222" s="50" t="s">
        <v>303</v>
      </c>
      <c r="BX222" s="50" t="s">
        <v>296</v>
      </c>
      <c r="BY222" s="50" t="s">
        <v>288</v>
      </c>
      <c r="BZ222" s="50" t="s">
        <v>287</v>
      </c>
      <c r="CA222" s="50"/>
      <c r="CB222" s="50" t="s">
        <v>287</v>
      </c>
      <c r="CC222" s="50" t="s">
        <v>287</v>
      </c>
      <c r="CD222" s="50" t="s">
        <v>287</v>
      </c>
      <c r="CE222" s="50"/>
      <c r="CF222" s="50" t="s">
        <v>287</v>
      </c>
      <c r="CG222" s="50" t="s">
        <v>287</v>
      </c>
      <c r="CH222" s="50" t="s">
        <v>486</v>
      </c>
      <c r="CI222" s="50" t="s">
        <v>287</v>
      </c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1:97" ht="36.75" customHeight="1" thickBot="1">
      <c r="A223" s="49">
        <v>46090.266365740739</v>
      </c>
      <c r="B223" s="50" t="s">
        <v>40</v>
      </c>
      <c r="C223" s="50" t="s">
        <v>45</v>
      </c>
      <c r="D223" s="50" t="s">
        <v>374</v>
      </c>
      <c r="E223" s="50" t="s">
        <v>61</v>
      </c>
      <c r="F223" s="50" t="s">
        <v>286</v>
      </c>
      <c r="G223" s="50" t="s">
        <v>73</v>
      </c>
      <c r="H223" s="50" t="s">
        <v>286</v>
      </c>
      <c r="I223" s="50" t="s">
        <v>81</v>
      </c>
      <c r="J223" s="50" t="s">
        <v>286</v>
      </c>
      <c r="K223" s="50" t="s">
        <v>287</v>
      </c>
      <c r="L223" s="50" t="s">
        <v>317</v>
      </c>
      <c r="M223" s="50" t="s">
        <v>316</v>
      </c>
      <c r="N223" s="111">
        <v>5</v>
      </c>
      <c r="O223" s="111">
        <v>5</v>
      </c>
      <c r="P223" s="111">
        <v>5</v>
      </c>
      <c r="Q223" s="111">
        <v>5</v>
      </c>
      <c r="R223" s="111">
        <v>5</v>
      </c>
      <c r="S223" s="111">
        <v>5</v>
      </c>
      <c r="T223" s="111">
        <v>5</v>
      </c>
      <c r="U223" s="111">
        <v>5</v>
      </c>
      <c r="V223" s="111">
        <v>5</v>
      </c>
      <c r="W223" s="111">
        <v>5</v>
      </c>
      <c r="X223" s="111">
        <v>5</v>
      </c>
      <c r="Y223" s="111">
        <v>5</v>
      </c>
      <c r="Z223" s="111">
        <v>5</v>
      </c>
      <c r="AA223" s="111">
        <v>5</v>
      </c>
      <c r="AB223" s="111">
        <v>5</v>
      </c>
      <c r="AC223" s="111">
        <v>5</v>
      </c>
      <c r="AD223" s="111">
        <v>5</v>
      </c>
      <c r="AE223" s="111">
        <v>5</v>
      </c>
      <c r="AF223" s="111">
        <v>5</v>
      </c>
      <c r="AG223" s="111">
        <v>5</v>
      </c>
      <c r="AH223" s="111">
        <v>5</v>
      </c>
      <c r="AI223" s="111">
        <v>5</v>
      </c>
      <c r="AJ223" s="111">
        <v>5</v>
      </c>
      <c r="AK223" s="111">
        <v>5</v>
      </c>
      <c r="AL223" s="111">
        <v>5</v>
      </c>
      <c r="AM223" s="111">
        <v>5</v>
      </c>
      <c r="AN223" s="111">
        <v>5</v>
      </c>
      <c r="AO223" s="111">
        <v>5</v>
      </c>
      <c r="AP223" s="111">
        <v>5</v>
      </c>
      <c r="AQ223" s="111">
        <v>5</v>
      </c>
      <c r="AR223" s="111">
        <v>5</v>
      </c>
      <c r="AS223" s="111">
        <v>5</v>
      </c>
      <c r="AT223" s="111">
        <v>5</v>
      </c>
      <c r="AU223" s="111">
        <v>5</v>
      </c>
      <c r="AV223" s="50" t="s">
        <v>199</v>
      </c>
      <c r="AW223" s="50" t="s">
        <v>199</v>
      </c>
      <c r="AX223" s="50" t="s">
        <v>199</v>
      </c>
      <c r="AY223" s="50" t="s">
        <v>200</v>
      </c>
      <c r="AZ223" s="50" t="s">
        <v>200</v>
      </c>
      <c r="BA223" s="50" t="s">
        <v>200</v>
      </c>
      <c r="BB223" s="50" t="s">
        <v>200</v>
      </c>
      <c r="BC223" s="50" t="s">
        <v>200</v>
      </c>
      <c r="BD223" s="50" t="s">
        <v>200</v>
      </c>
      <c r="BE223" s="50" t="s">
        <v>200</v>
      </c>
      <c r="BF223" s="50" t="s">
        <v>200</v>
      </c>
      <c r="BG223" s="50" t="s">
        <v>200</v>
      </c>
      <c r="BH223" s="50" t="s">
        <v>200</v>
      </c>
      <c r="BI223" s="50" t="s">
        <v>200</v>
      </c>
      <c r="BJ223" s="50" t="s">
        <v>200</v>
      </c>
      <c r="BK223" s="50" t="s">
        <v>200</v>
      </c>
      <c r="BL223" s="50" t="s">
        <v>200</v>
      </c>
      <c r="BM223" s="50" t="s">
        <v>436</v>
      </c>
      <c r="BN223" s="50" t="s">
        <v>318</v>
      </c>
      <c r="BO223" s="50" t="s">
        <v>91</v>
      </c>
      <c r="BP223" s="50" t="s">
        <v>286</v>
      </c>
      <c r="BQ223" s="50" t="s">
        <v>287</v>
      </c>
      <c r="BR223" s="50" t="s">
        <v>416</v>
      </c>
      <c r="BS223" s="111">
        <v>5</v>
      </c>
      <c r="BT223" s="50" t="s">
        <v>286</v>
      </c>
      <c r="BU223" s="50" t="s">
        <v>312</v>
      </c>
      <c r="BV223" s="50" t="s">
        <v>288</v>
      </c>
      <c r="BW223" s="50" t="s">
        <v>304</v>
      </c>
      <c r="BX223" s="50" t="s">
        <v>290</v>
      </c>
      <c r="BY223" s="50" t="s">
        <v>288</v>
      </c>
      <c r="BZ223" s="50" t="s">
        <v>287</v>
      </c>
      <c r="CA223" s="50"/>
      <c r="CB223" s="50" t="s">
        <v>287</v>
      </c>
      <c r="CC223" s="50" t="s">
        <v>287</v>
      </c>
      <c r="CD223" s="50" t="s">
        <v>287</v>
      </c>
      <c r="CE223" s="50"/>
      <c r="CF223" s="50" t="s">
        <v>287</v>
      </c>
      <c r="CG223" s="50" t="s">
        <v>287</v>
      </c>
      <c r="CH223" s="50" t="s">
        <v>486</v>
      </c>
      <c r="CI223" s="50" t="s">
        <v>287</v>
      </c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1:97" ht="36.75" customHeight="1" thickBot="1">
      <c r="A224" s="49">
        <v>46090.269641203704</v>
      </c>
      <c r="B224" s="50" t="s">
        <v>38</v>
      </c>
      <c r="C224" s="50" t="s">
        <v>45</v>
      </c>
      <c r="D224" s="50" t="s">
        <v>369</v>
      </c>
      <c r="E224" s="50" t="s">
        <v>285</v>
      </c>
      <c r="F224" s="50" t="s">
        <v>286</v>
      </c>
      <c r="G224" s="50" t="s">
        <v>292</v>
      </c>
      <c r="H224" s="50" t="s">
        <v>309</v>
      </c>
      <c r="I224" s="50" t="s">
        <v>92</v>
      </c>
      <c r="J224" s="50" t="s">
        <v>286</v>
      </c>
      <c r="K224" s="50" t="s">
        <v>291</v>
      </c>
      <c r="L224" s="50" t="s">
        <v>317</v>
      </c>
      <c r="M224" s="50" t="s">
        <v>316</v>
      </c>
      <c r="N224" s="111">
        <v>5</v>
      </c>
      <c r="O224" s="111">
        <v>5</v>
      </c>
      <c r="P224" s="111">
        <v>5</v>
      </c>
      <c r="Q224" s="111">
        <v>5</v>
      </c>
      <c r="R224" s="111">
        <v>5</v>
      </c>
      <c r="S224" s="111">
        <v>5</v>
      </c>
      <c r="T224" s="111">
        <v>5</v>
      </c>
      <c r="U224" s="111">
        <v>5</v>
      </c>
      <c r="V224" s="111">
        <v>5</v>
      </c>
      <c r="W224" s="111">
        <v>5</v>
      </c>
      <c r="X224" s="111">
        <v>5</v>
      </c>
      <c r="Y224" s="111">
        <v>5</v>
      </c>
      <c r="Z224" s="111">
        <v>5</v>
      </c>
      <c r="AA224" s="111">
        <v>5</v>
      </c>
      <c r="AB224" s="111">
        <v>5</v>
      </c>
      <c r="AC224" s="111">
        <v>5</v>
      </c>
      <c r="AD224" s="111">
        <v>5</v>
      </c>
      <c r="AE224" s="111">
        <v>5</v>
      </c>
      <c r="AF224" s="111">
        <v>5</v>
      </c>
      <c r="AG224" s="111">
        <v>5</v>
      </c>
      <c r="AH224" s="111">
        <v>5</v>
      </c>
      <c r="AI224" s="111">
        <v>5</v>
      </c>
      <c r="AJ224" s="111">
        <v>5</v>
      </c>
      <c r="AK224" s="111">
        <v>5</v>
      </c>
      <c r="AL224" s="111">
        <v>5</v>
      </c>
      <c r="AM224" s="111">
        <v>5</v>
      </c>
      <c r="AN224" s="111">
        <v>5</v>
      </c>
      <c r="AO224" s="111">
        <v>5</v>
      </c>
      <c r="AP224" s="111">
        <v>5</v>
      </c>
      <c r="AQ224" s="111">
        <v>5</v>
      </c>
      <c r="AR224" s="111">
        <v>5</v>
      </c>
      <c r="AS224" s="111">
        <v>5</v>
      </c>
      <c r="AT224" s="111">
        <v>5</v>
      </c>
      <c r="AU224" s="111">
        <v>5</v>
      </c>
      <c r="AV224" s="50" t="s">
        <v>199</v>
      </c>
      <c r="AW224" s="50" t="s">
        <v>199</v>
      </c>
      <c r="AX224" s="50" t="s">
        <v>199</v>
      </c>
      <c r="AY224" s="50" t="s">
        <v>200</v>
      </c>
      <c r="AZ224" s="50" t="s">
        <v>200</v>
      </c>
      <c r="BA224" s="50" t="s">
        <v>200</v>
      </c>
      <c r="BB224" s="50" t="s">
        <v>200</v>
      </c>
      <c r="BC224" s="50" t="s">
        <v>200</v>
      </c>
      <c r="BD224" s="50" t="s">
        <v>200</v>
      </c>
      <c r="BE224" s="50" t="s">
        <v>200</v>
      </c>
      <c r="BF224" s="50" t="s">
        <v>200</v>
      </c>
      <c r="BG224" s="50" t="s">
        <v>200</v>
      </c>
      <c r="BH224" s="50" t="s">
        <v>200</v>
      </c>
      <c r="BI224" s="50" t="s">
        <v>200</v>
      </c>
      <c r="BJ224" s="50" t="s">
        <v>200</v>
      </c>
      <c r="BK224" s="50" t="s">
        <v>200</v>
      </c>
      <c r="BL224" s="50" t="s">
        <v>200</v>
      </c>
      <c r="BM224" s="50" t="s">
        <v>436</v>
      </c>
      <c r="BN224" s="50" t="s">
        <v>318</v>
      </c>
      <c r="BO224" s="50" t="s">
        <v>378</v>
      </c>
      <c r="BP224" s="50" t="s">
        <v>286</v>
      </c>
      <c r="BQ224" s="50" t="s">
        <v>287</v>
      </c>
      <c r="BR224" s="50" t="s">
        <v>406</v>
      </c>
      <c r="BS224" s="111">
        <v>5</v>
      </c>
      <c r="BT224" s="50" t="s">
        <v>286</v>
      </c>
      <c r="BU224" s="50" t="s">
        <v>312</v>
      </c>
      <c r="BV224" s="50" t="s">
        <v>288</v>
      </c>
      <c r="BW224" s="50" t="s">
        <v>297</v>
      </c>
      <c r="BX224" s="50" t="s">
        <v>296</v>
      </c>
      <c r="BY224" s="50" t="s">
        <v>288</v>
      </c>
      <c r="BZ224" s="50" t="s">
        <v>287</v>
      </c>
      <c r="CA224" s="50"/>
      <c r="CB224" s="50" t="s">
        <v>287</v>
      </c>
      <c r="CC224" s="50" t="s">
        <v>287</v>
      </c>
      <c r="CD224" s="50" t="s">
        <v>287</v>
      </c>
      <c r="CE224" s="50"/>
      <c r="CF224" s="50" t="s">
        <v>287</v>
      </c>
      <c r="CG224" s="50" t="s">
        <v>287</v>
      </c>
      <c r="CH224" s="50" t="s">
        <v>486</v>
      </c>
      <c r="CI224" s="50" t="s">
        <v>287</v>
      </c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1:97" ht="36.75" customHeight="1" thickBot="1">
      <c r="A225" s="49">
        <v>46090.271215277775</v>
      </c>
      <c r="B225" s="50" t="s">
        <v>40</v>
      </c>
      <c r="C225" s="50" t="s">
        <v>45</v>
      </c>
      <c r="D225" s="50" t="s">
        <v>374</v>
      </c>
      <c r="E225" s="50" t="s">
        <v>61</v>
      </c>
      <c r="F225" s="50" t="s">
        <v>286</v>
      </c>
      <c r="G225" s="50" t="s">
        <v>73</v>
      </c>
      <c r="H225" s="50" t="s">
        <v>298</v>
      </c>
      <c r="I225" s="50" t="s">
        <v>81</v>
      </c>
      <c r="J225" s="50" t="s">
        <v>286</v>
      </c>
      <c r="K225" s="50" t="s">
        <v>287</v>
      </c>
      <c r="L225" s="50" t="s">
        <v>336</v>
      </c>
      <c r="M225" s="50" t="s">
        <v>316</v>
      </c>
      <c r="N225" s="111">
        <v>5</v>
      </c>
      <c r="O225" s="111">
        <v>5</v>
      </c>
      <c r="P225" s="111">
        <v>5</v>
      </c>
      <c r="Q225" s="111">
        <v>5</v>
      </c>
      <c r="R225" s="111">
        <v>5</v>
      </c>
      <c r="S225" s="111">
        <v>5</v>
      </c>
      <c r="T225" s="111">
        <v>5</v>
      </c>
      <c r="U225" s="111">
        <v>5</v>
      </c>
      <c r="V225" s="111">
        <v>5</v>
      </c>
      <c r="W225" s="111">
        <v>5</v>
      </c>
      <c r="X225" s="111">
        <v>5</v>
      </c>
      <c r="Y225" s="111">
        <v>5</v>
      </c>
      <c r="Z225" s="111">
        <v>5</v>
      </c>
      <c r="AA225" s="111">
        <v>5</v>
      </c>
      <c r="AB225" s="111">
        <v>5</v>
      </c>
      <c r="AC225" s="111">
        <v>5</v>
      </c>
      <c r="AD225" s="111">
        <v>5</v>
      </c>
      <c r="AE225" s="111">
        <v>5</v>
      </c>
      <c r="AF225" s="111">
        <v>5</v>
      </c>
      <c r="AG225" s="111">
        <v>5</v>
      </c>
      <c r="AH225" s="111">
        <v>5</v>
      </c>
      <c r="AI225" s="111">
        <v>5</v>
      </c>
      <c r="AJ225" s="111">
        <v>5</v>
      </c>
      <c r="AK225" s="111">
        <v>5</v>
      </c>
      <c r="AL225" s="111">
        <v>5</v>
      </c>
      <c r="AM225" s="111">
        <v>5</v>
      </c>
      <c r="AN225" s="111">
        <v>5</v>
      </c>
      <c r="AO225" s="111">
        <v>5</v>
      </c>
      <c r="AP225" s="111">
        <v>5</v>
      </c>
      <c r="AQ225" s="111">
        <v>5</v>
      </c>
      <c r="AR225" s="111">
        <v>5</v>
      </c>
      <c r="AS225" s="111">
        <v>5</v>
      </c>
      <c r="AT225" s="111">
        <v>5</v>
      </c>
      <c r="AU225" s="111">
        <v>5</v>
      </c>
      <c r="AV225" s="50" t="s">
        <v>199</v>
      </c>
      <c r="AW225" s="50" t="s">
        <v>199</v>
      </c>
      <c r="AX225" s="50" t="s">
        <v>199</v>
      </c>
      <c r="AY225" s="50" t="s">
        <v>200</v>
      </c>
      <c r="AZ225" s="50" t="s">
        <v>200</v>
      </c>
      <c r="BA225" s="50" t="s">
        <v>200</v>
      </c>
      <c r="BB225" s="50" t="s">
        <v>200</v>
      </c>
      <c r="BC225" s="50" t="s">
        <v>200</v>
      </c>
      <c r="BD225" s="50" t="s">
        <v>200</v>
      </c>
      <c r="BE225" s="50" t="s">
        <v>200</v>
      </c>
      <c r="BF225" s="50" t="s">
        <v>200</v>
      </c>
      <c r="BG225" s="50" t="s">
        <v>200</v>
      </c>
      <c r="BH225" s="50" t="s">
        <v>200</v>
      </c>
      <c r="BI225" s="50" t="s">
        <v>200</v>
      </c>
      <c r="BJ225" s="50" t="s">
        <v>200</v>
      </c>
      <c r="BK225" s="50" t="s">
        <v>200</v>
      </c>
      <c r="BL225" s="50" t="s">
        <v>200</v>
      </c>
      <c r="BM225" s="50" t="s">
        <v>436</v>
      </c>
      <c r="BN225" s="50" t="s">
        <v>318</v>
      </c>
      <c r="BO225" s="50" t="s">
        <v>91</v>
      </c>
      <c r="BP225" s="50" t="s">
        <v>286</v>
      </c>
      <c r="BQ225" s="50" t="s">
        <v>287</v>
      </c>
      <c r="BR225" s="50" t="s">
        <v>403</v>
      </c>
      <c r="BS225" s="111">
        <v>5</v>
      </c>
      <c r="BT225" s="50" t="s">
        <v>286</v>
      </c>
      <c r="BU225" s="50" t="s">
        <v>312</v>
      </c>
      <c r="BV225" s="50" t="s">
        <v>288</v>
      </c>
      <c r="BW225" s="50" t="s">
        <v>303</v>
      </c>
      <c r="BX225" s="50" t="s">
        <v>296</v>
      </c>
      <c r="BY225" s="50" t="s">
        <v>288</v>
      </c>
      <c r="BZ225" s="50" t="s">
        <v>287</v>
      </c>
      <c r="CA225" s="50"/>
      <c r="CB225" s="50" t="s">
        <v>287</v>
      </c>
      <c r="CC225" s="50" t="s">
        <v>287</v>
      </c>
      <c r="CD225" s="50" t="s">
        <v>287</v>
      </c>
      <c r="CE225" s="50"/>
      <c r="CF225" s="50" t="s">
        <v>287</v>
      </c>
      <c r="CG225" s="50" t="s">
        <v>287</v>
      </c>
      <c r="CH225" s="50" t="s">
        <v>486</v>
      </c>
      <c r="CI225" s="50" t="s">
        <v>287</v>
      </c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1:97" ht="36.75" customHeight="1" thickBot="1">
      <c r="A226" s="49">
        <v>46090.273587962962</v>
      </c>
      <c r="B226" s="50" t="s">
        <v>36</v>
      </c>
      <c r="C226" s="50" t="s">
        <v>45</v>
      </c>
      <c r="D226" s="50" t="s">
        <v>374</v>
      </c>
      <c r="E226" s="50" t="s">
        <v>61</v>
      </c>
      <c r="F226" s="50" t="s">
        <v>286</v>
      </c>
      <c r="G226" s="50" t="s">
        <v>73</v>
      </c>
      <c r="H226" s="50" t="s">
        <v>320</v>
      </c>
      <c r="I226" s="50" t="s">
        <v>92</v>
      </c>
      <c r="J226" s="50" t="s">
        <v>286</v>
      </c>
      <c r="K226" s="50" t="s">
        <v>287</v>
      </c>
      <c r="L226" s="50" t="s">
        <v>405</v>
      </c>
      <c r="M226" s="50" t="s">
        <v>316</v>
      </c>
      <c r="N226" s="111">
        <v>5</v>
      </c>
      <c r="O226" s="111">
        <v>5</v>
      </c>
      <c r="P226" s="111">
        <v>5</v>
      </c>
      <c r="Q226" s="111">
        <v>5</v>
      </c>
      <c r="R226" s="111">
        <v>5</v>
      </c>
      <c r="S226" s="111">
        <v>5</v>
      </c>
      <c r="T226" s="111">
        <v>5</v>
      </c>
      <c r="U226" s="111">
        <v>5</v>
      </c>
      <c r="V226" s="111">
        <v>5</v>
      </c>
      <c r="W226" s="111">
        <v>5</v>
      </c>
      <c r="X226" s="111">
        <v>5</v>
      </c>
      <c r="Y226" s="111">
        <v>5</v>
      </c>
      <c r="Z226" s="111">
        <v>5</v>
      </c>
      <c r="AA226" s="111">
        <v>5</v>
      </c>
      <c r="AB226" s="111">
        <v>5</v>
      </c>
      <c r="AC226" s="111">
        <v>5</v>
      </c>
      <c r="AD226" s="111">
        <v>5</v>
      </c>
      <c r="AE226" s="111">
        <v>5</v>
      </c>
      <c r="AF226" s="111">
        <v>5</v>
      </c>
      <c r="AG226" s="111">
        <v>5</v>
      </c>
      <c r="AH226" s="111">
        <v>5</v>
      </c>
      <c r="AI226" s="111">
        <v>5</v>
      </c>
      <c r="AJ226" s="111">
        <v>5</v>
      </c>
      <c r="AK226" s="111">
        <v>5</v>
      </c>
      <c r="AL226" s="111">
        <v>5</v>
      </c>
      <c r="AM226" s="111">
        <v>5</v>
      </c>
      <c r="AN226" s="111">
        <v>5</v>
      </c>
      <c r="AO226" s="111">
        <v>5</v>
      </c>
      <c r="AP226" s="111">
        <v>5</v>
      </c>
      <c r="AQ226" s="111">
        <v>5</v>
      </c>
      <c r="AR226" s="111">
        <v>5</v>
      </c>
      <c r="AS226" s="111">
        <v>5</v>
      </c>
      <c r="AT226" s="111">
        <v>5</v>
      </c>
      <c r="AU226" s="111">
        <v>5</v>
      </c>
      <c r="AV226" s="50" t="s">
        <v>199</v>
      </c>
      <c r="AW226" s="50" t="s">
        <v>199</v>
      </c>
      <c r="AX226" s="50" t="s">
        <v>199</v>
      </c>
      <c r="AY226" s="50" t="s">
        <v>200</v>
      </c>
      <c r="AZ226" s="50" t="s">
        <v>200</v>
      </c>
      <c r="BA226" s="50" t="s">
        <v>200</v>
      </c>
      <c r="BB226" s="50" t="s">
        <v>200</v>
      </c>
      <c r="BC226" s="50" t="s">
        <v>200</v>
      </c>
      <c r="BD226" s="50" t="s">
        <v>200</v>
      </c>
      <c r="BE226" s="50" t="s">
        <v>200</v>
      </c>
      <c r="BF226" s="50" t="s">
        <v>200</v>
      </c>
      <c r="BG226" s="50" t="s">
        <v>200</v>
      </c>
      <c r="BH226" s="50" t="s">
        <v>200</v>
      </c>
      <c r="BI226" s="50" t="s">
        <v>200</v>
      </c>
      <c r="BJ226" s="50" t="s">
        <v>200</v>
      </c>
      <c r="BK226" s="50" t="s">
        <v>200</v>
      </c>
      <c r="BL226" s="50" t="s">
        <v>200</v>
      </c>
      <c r="BM226" s="50" t="s">
        <v>436</v>
      </c>
      <c r="BN226" s="50" t="s">
        <v>318</v>
      </c>
      <c r="BO226" s="50" t="s">
        <v>91</v>
      </c>
      <c r="BP226" s="50" t="s">
        <v>286</v>
      </c>
      <c r="BQ226" s="50" t="s">
        <v>287</v>
      </c>
      <c r="BR226" s="50" t="s">
        <v>408</v>
      </c>
      <c r="BS226" s="111">
        <v>5</v>
      </c>
      <c r="BT226" s="50" t="s">
        <v>286</v>
      </c>
      <c r="BU226" s="50" t="s">
        <v>312</v>
      </c>
      <c r="BV226" s="50" t="s">
        <v>288</v>
      </c>
      <c r="BW226" s="50" t="s">
        <v>289</v>
      </c>
      <c r="BX226" s="50" t="s">
        <v>300</v>
      </c>
      <c r="BY226" s="50" t="s">
        <v>288</v>
      </c>
      <c r="BZ226" s="50" t="s">
        <v>287</v>
      </c>
      <c r="CA226" s="50"/>
      <c r="CB226" s="50" t="s">
        <v>287</v>
      </c>
      <c r="CC226" s="50" t="s">
        <v>287</v>
      </c>
      <c r="CD226" s="50" t="s">
        <v>287</v>
      </c>
      <c r="CE226" s="50"/>
      <c r="CF226" s="50" t="s">
        <v>287</v>
      </c>
      <c r="CG226" s="50" t="s">
        <v>287</v>
      </c>
      <c r="CH226" s="50" t="s">
        <v>486</v>
      </c>
      <c r="CI226" s="50" t="s">
        <v>287</v>
      </c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1:97" ht="36.75" customHeight="1" thickBot="1">
      <c r="A227" s="49">
        <v>46090.275127314817</v>
      </c>
      <c r="B227" s="50" t="s">
        <v>40</v>
      </c>
      <c r="C227" s="50" t="s">
        <v>45</v>
      </c>
      <c r="D227" s="50" t="s">
        <v>374</v>
      </c>
      <c r="E227" s="50" t="s">
        <v>60</v>
      </c>
      <c r="F227" s="50" t="s">
        <v>286</v>
      </c>
      <c r="G227" s="50" t="s">
        <v>73</v>
      </c>
      <c r="H227" s="50" t="s">
        <v>286</v>
      </c>
      <c r="I227" s="50" t="s">
        <v>81</v>
      </c>
      <c r="J227" s="50" t="s">
        <v>286</v>
      </c>
      <c r="K227" s="50" t="s">
        <v>287</v>
      </c>
      <c r="L227" s="50" t="s">
        <v>336</v>
      </c>
      <c r="M227" s="50" t="s">
        <v>316</v>
      </c>
      <c r="N227" s="111">
        <v>5</v>
      </c>
      <c r="O227" s="111">
        <v>5</v>
      </c>
      <c r="P227" s="111">
        <v>5</v>
      </c>
      <c r="Q227" s="111">
        <v>5</v>
      </c>
      <c r="R227" s="111">
        <v>5</v>
      </c>
      <c r="S227" s="111">
        <v>5</v>
      </c>
      <c r="T227" s="111">
        <v>5</v>
      </c>
      <c r="U227" s="111">
        <v>5</v>
      </c>
      <c r="V227" s="111">
        <v>5</v>
      </c>
      <c r="W227" s="111">
        <v>5</v>
      </c>
      <c r="X227" s="111">
        <v>5</v>
      </c>
      <c r="Y227" s="111">
        <v>5</v>
      </c>
      <c r="Z227" s="111">
        <v>5</v>
      </c>
      <c r="AA227" s="111">
        <v>5</v>
      </c>
      <c r="AB227" s="111">
        <v>5</v>
      </c>
      <c r="AC227" s="111">
        <v>5</v>
      </c>
      <c r="AD227" s="111">
        <v>5</v>
      </c>
      <c r="AE227" s="111">
        <v>5</v>
      </c>
      <c r="AF227" s="111">
        <v>5</v>
      </c>
      <c r="AG227" s="111">
        <v>5</v>
      </c>
      <c r="AH227" s="111">
        <v>5</v>
      </c>
      <c r="AI227" s="111">
        <v>5</v>
      </c>
      <c r="AJ227" s="111">
        <v>5</v>
      </c>
      <c r="AK227" s="111">
        <v>5</v>
      </c>
      <c r="AL227" s="111">
        <v>5</v>
      </c>
      <c r="AM227" s="111">
        <v>5</v>
      </c>
      <c r="AN227" s="111">
        <v>5</v>
      </c>
      <c r="AO227" s="111">
        <v>5</v>
      </c>
      <c r="AP227" s="111">
        <v>5</v>
      </c>
      <c r="AQ227" s="111">
        <v>5</v>
      </c>
      <c r="AR227" s="111">
        <v>5</v>
      </c>
      <c r="AS227" s="111">
        <v>5</v>
      </c>
      <c r="AT227" s="111">
        <v>5</v>
      </c>
      <c r="AU227" s="111">
        <v>5</v>
      </c>
      <c r="AV227" s="50" t="s">
        <v>199</v>
      </c>
      <c r="AW227" s="50" t="s">
        <v>199</v>
      </c>
      <c r="AX227" s="50" t="s">
        <v>199</v>
      </c>
      <c r="AY227" s="50" t="s">
        <v>200</v>
      </c>
      <c r="AZ227" s="50" t="s">
        <v>200</v>
      </c>
      <c r="BA227" s="50" t="s">
        <v>200</v>
      </c>
      <c r="BB227" s="50" t="s">
        <v>200</v>
      </c>
      <c r="BC227" s="50" t="s">
        <v>200</v>
      </c>
      <c r="BD227" s="50" t="s">
        <v>200</v>
      </c>
      <c r="BE227" s="50" t="s">
        <v>200</v>
      </c>
      <c r="BF227" s="50" t="s">
        <v>200</v>
      </c>
      <c r="BG227" s="50" t="s">
        <v>200</v>
      </c>
      <c r="BH227" s="50" t="s">
        <v>200</v>
      </c>
      <c r="BI227" s="50" t="s">
        <v>200</v>
      </c>
      <c r="BJ227" s="50" t="s">
        <v>200</v>
      </c>
      <c r="BK227" s="50" t="s">
        <v>200</v>
      </c>
      <c r="BL227" s="50" t="s">
        <v>200</v>
      </c>
      <c r="BM227" s="50" t="s">
        <v>436</v>
      </c>
      <c r="BN227" s="50" t="s">
        <v>318</v>
      </c>
      <c r="BO227" s="50" t="s">
        <v>91</v>
      </c>
      <c r="BP227" s="50" t="s">
        <v>286</v>
      </c>
      <c r="BQ227" s="50" t="s">
        <v>287</v>
      </c>
      <c r="BR227" s="50" t="s">
        <v>382</v>
      </c>
      <c r="BS227" s="111">
        <v>5</v>
      </c>
      <c r="BT227" s="50" t="s">
        <v>286</v>
      </c>
      <c r="BU227" s="50" t="s">
        <v>312</v>
      </c>
      <c r="BV227" s="50" t="s">
        <v>288</v>
      </c>
      <c r="BW227" s="50" t="s">
        <v>289</v>
      </c>
      <c r="BX227" s="50" t="s">
        <v>300</v>
      </c>
      <c r="BY227" s="50" t="s">
        <v>288</v>
      </c>
      <c r="BZ227" s="50" t="s">
        <v>287</v>
      </c>
      <c r="CA227" s="50"/>
      <c r="CB227" s="50" t="s">
        <v>287</v>
      </c>
      <c r="CC227" s="50" t="s">
        <v>287</v>
      </c>
      <c r="CD227" s="50" t="s">
        <v>287</v>
      </c>
      <c r="CE227" s="50"/>
      <c r="CF227" s="50" t="s">
        <v>287</v>
      </c>
      <c r="CG227" s="50" t="s">
        <v>287</v>
      </c>
      <c r="CH227" s="50" t="s">
        <v>486</v>
      </c>
      <c r="CI227" s="50" t="s">
        <v>287</v>
      </c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1:97" ht="36.75" customHeight="1" thickBot="1">
      <c r="A228" s="49">
        <v>46090.276724537034</v>
      </c>
      <c r="B228" s="50" t="s">
        <v>40</v>
      </c>
      <c r="C228" s="50" t="s">
        <v>45</v>
      </c>
      <c r="D228" s="50" t="s">
        <v>374</v>
      </c>
      <c r="E228" s="50" t="s">
        <v>61</v>
      </c>
      <c r="F228" s="50" t="s">
        <v>286</v>
      </c>
      <c r="G228" s="50" t="s">
        <v>73</v>
      </c>
      <c r="H228" s="50" t="s">
        <v>314</v>
      </c>
      <c r="I228" s="50" t="s">
        <v>81</v>
      </c>
      <c r="J228" s="50" t="s">
        <v>286</v>
      </c>
      <c r="K228" s="50" t="s">
        <v>287</v>
      </c>
      <c r="L228" s="50" t="s">
        <v>366</v>
      </c>
      <c r="M228" s="50" t="s">
        <v>319</v>
      </c>
      <c r="N228" s="111">
        <v>5</v>
      </c>
      <c r="O228" s="111">
        <v>5</v>
      </c>
      <c r="P228" s="111">
        <v>5</v>
      </c>
      <c r="Q228" s="111">
        <v>5</v>
      </c>
      <c r="R228" s="111">
        <v>5</v>
      </c>
      <c r="S228" s="111">
        <v>5</v>
      </c>
      <c r="T228" s="111">
        <v>5</v>
      </c>
      <c r="U228" s="111">
        <v>5</v>
      </c>
      <c r="V228" s="111">
        <v>5</v>
      </c>
      <c r="W228" s="111">
        <v>5</v>
      </c>
      <c r="X228" s="111">
        <v>5</v>
      </c>
      <c r="Y228" s="111">
        <v>5</v>
      </c>
      <c r="Z228" s="111">
        <v>5</v>
      </c>
      <c r="AA228" s="111">
        <v>5</v>
      </c>
      <c r="AB228" s="111">
        <v>5</v>
      </c>
      <c r="AC228" s="111">
        <v>5</v>
      </c>
      <c r="AD228" s="111">
        <v>5</v>
      </c>
      <c r="AE228" s="111">
        <v>5</v>
      </c>
      <c r="AF228" s="111">
        <v>5</v>
      </c>
      <c r="AG228" s="111">
        <v>5</v>
      </c>
      <c r="AH228" s="111">
        <v>5</v>
      </c>
      <c r="AI228" s="111">
        <v>5</v>
      </c>
      <c r="AJ228" s="111">
        <v>5</v>
      </c>
      <c r="AK228" s="111">
        <v>5</v>
      </c>
      <c r="AL228" s="111">
        <v>5</v>
      </c>
      <c r="AM228" s="111">
        <v>5</v>
      </c>
      <c r="AN228" s="111">
        <v>5</v>
      </c>
      <c r="AO228" s="111">
        <v>5</v>
      </c>
      <c r="AP228" s="111">
        <v>5</v>
      </c>
      <c r="AQ228" s="111">
        <v>5</v>
      </c>
      <c r="AR228" s="111">
        <v>5</v>
      </c>
      <c r="AS228" s="111">
        <v>5</v>
      </c>
      <c r="AT228" s="111">
        <v>5</v>
      </c>
      <c r="AU228" s="111">
        <v>5</v>
      </c>
      <c r="AV228" s="50" t="s">
        <v>199</v>
      </c>
      <c r="AW228" s="50" t="s">
        <v>199</v>
      </c>
      <c r="AX228" s="50" t="s">
        <v>199</v>
      </c>
      <c r="AY228" s="50" t="s">
        <v>200</v>
      </c>
      <c r="AZ228" s="50" t="s">
        <v>200</v>
      </c>
      <c r="BA228" s="50" t="s">
        <v>200</v>
      </c>
      <c r="BB228" s="50" t="s">
        <v>200</v>
      </c>
      <c r="BC228" s="50" t="s">
        <v>200</v>
      </c>
      <c r="BD228" s="50" t="s">
        <v>200</v>
      </c>
      <c r="BE228" s="50" t="s">
        <v>200</v>
      </c>
      <c r="BF228" s="50" t="s">
        <v>200</v>
      </c>
      <c r="BG228" s="50" t="s">
        <v>200</v>
      </c>
      <c r="BH228" s="50" t="s">
        <v>200</v>
      </c>
      <c r="BI228" s="50" t="s">
        <v>200</v>
      </c>
      <c r="BJ228" s="50" t="s">
        <v>200</v>
      </c>
      <c r="BK228" s="50" t="s">
        <v>200</v>
      </c>
      <c r="BL228" s="50" t="s">
        <v>200</v>
      </c>
      <c r="BM228" s="50" t="s">
        <v>436</v>
      </c>
      <c r="BN228" s="50" t="s">
        <v>318</v>
      </c>
      <c r="BO228" s="50" t="s">
        <v>91</v>
      </c>
      <c r="BP228" s="50" t="s">
        <v>286</v>
      </c>
      <c r="BQ228" s="50" t="s">
        <v>287</v>
      </c>
      <c r="BR228" s="50" t="s">
        <v>403</v>
      </c>
      <c r="BS228" s="111">
        <v>5</v>
      </c>
      <c r="BT228" s="50" t="s">
        <v>286</v>
      </c>
      <c r="BU228" s="50" t="s">
        <v>312</v>
      </c>
      <c r="BV228" s="50" t="s">
        <v>288</v>
      </c>
      <c r="BW228" s="50" t="s">
        <v>293</v>
      </c>
      <c r="BX228" s="50" t="s">
        <v>290</v>
      </c>
      <c r="BY228" s="50" t="s">
        <v>288</v>
      </c>
      <c r="BZ228" s="50" t="s">
        <v>287</v>
      </c>
      <c r="CA228" s="50"/>
      <c r="CB228" s="50" t="s">
        <v>287</v>
      </c>
      <c r="CC228" s="50" t="s">
        <v>287</v>
      </c>
      <c r="CD228" s="50" t="s">
        <v>287</v>
      </c>
      <c r="CE228" s="50"/>
      <c r="CF228" s="50" t="s">
        <v>287</v>
      </c>
      <c r="CG228" s="50" t="s">
        <v>287</v>
      </c>
      <c r="CH228" s="50" t="s">
        <v>486</v>
      </c>
      <c r="CI228" s="50" t="s">
        <v>287</v>
      </c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1:97" ht="36.75" customHeight="1" thickBot="1">
      <c r="A229" s="49">
        <v>46090.278854166667</v>
      </c>
      <c r="B229" s="50" t="s">
        <v>40</v>
      </c>
      <c r="C229" s="50" t="s">
        <v>45</v>
      </c>
      <c r="D229" s="50" t="s">
        <v>369</v>
      </c>
      <c r="E229" s="50" t="s">
        <v>285</v>
      </c>
      <c r="F229" s="50" t="s">
        <v>286</v>
      </c>
      <c r="G229" s="50" t="s">
        <v>292</v>
      </c>
      <c r="H229" s="50" t="s">
        <v>339</v>
      </c>
      <c r="I229" s="50" t="s">
        <v>81</v>
      </c>
      <c r="J229" s="50" t="s">
        <v>286</v>
      </c>
      <c r="K229" s="50" t="s">
        <v>287</v>
      </c>
      <c r="L229" s="50" t="s">
        <v>553</v>
      </c>
      <c r="M229" s="50" t="s">
        <v>319</v>
      </c>
      <c r="N229" s="111">
        <v>5</v>
      </c>
      <c r="O229" s="111">
        <v>5</v>
      </c>
      <c r="P229" s="111">
        <v>5</v>
      </c>
      <c r="Q229" s="111">
        <v>5</v>
      </c>
      <c r="R229" s="111">
        <v>5</v>
      </c>
      <c r="S229" s="111">
        <v>5</v>
      </c>
      <c r="T229" s="111">
        <v>5</v>
      </c>
      <c r="U229" s="111">
        <v>5</v>
      </c>
      <c r="V229" s="111">
        <v>5</v>
      </c>
      <c r="W229" s="111">
        <v>5</v>
      </c>
      <c r="X229" s="111">
        <v>5</v>
      </c>
      <c r="Y229" s="111">
        <v>5</v>
      </c>
      <c r="Z229" s="111">
        <v>5</v>
      </c>
      <c r="AA229" s="111">
        <v>5</v>
      </c>
      <c r="AB229" s="111">
        <v>5</v>
      </c>
      <c r="AC229" s="111">
        <v>5</v>
      </c>
      <c r="AD229" s="111">
        <v>5</v>
      </c>
      <c r="AE229" s="111">
        <v>5</v>
      </c>
      <c r="AF229" s="111">
        <v>5</v>
      </c>
      <c r="AG229" s="111">
        <v>5</v>
      </c>
      <c r="AH229" s="111">
        <v>5</v>
      </c>
      <c r="AI229" s="111">
        <v>5</v>
      </c>
      <c r="AJ229" s="111">
        <v>5</v>
      </c>
      <c r="AK229" s="111">
        <v>5</v>
      </c>
      <c r="AL229" s="111">
        <v>5</v>
      </c>
      <c r="AM229" s="111">
        <v>5</v>
      </c>
      <c r="AN229" s="111">
        <v>5</v>
      </c>
      <c r="AO229" s="111">
        <v>5</v>
      </c>
      <c r="AP229" s="111">
        <v>5</v>
      </c>
      <c r="AQ229" s="111">
        <v>5</v>
      </c>
      <c r="AR229" s="111">
        <v>5</v>
      </c>
      <c r="AS229" s="111">
        <v>5</v>
      </c>
      <c r="AT229" s="111">
        <v>5</v>
      </c>
      <c r="AU229" s="111">
        <v>5</v>
      </c>
      <c r="AV229" s="50" t="s">
        <v>199</v>
      </c>
      <c r="AW229" s="50" t="s">
        <v>199</v>
      </c>
      <c r="AX229" s="50" t="s">
        <v>199</v>
      </c>
      <c r="AY229" s="50" t="s">
        <v>200</v>
      </c>
      <c r="AZ229" s="50" t="s">
        <v>200</v>
      </c>
      <c r="BA229" s="50" t="s">
        <v>200</v>
      </c>
      <c r="BB229" s="50" t="s">
        <v>200</v>
      </c>
      <c r="BC229" s="50" t="s">
        <v>200</v>
      </c>
      <c r="BD229" s="50" t="s">
        <v>200</v>
      </c>
      <c r="BE229" s="50" t="s">
        <v>200</v>
      </c>
      <c r="BF229" s="50" t="s">
        <v>200</v>
      </c>
      <c r="BG229" s="50" t="s">
        <v>200</v>
      </c>
      <c r="BH229" s="50" t="s">
        <v>200</v>
      </c>
      <c r="BI229" s="50" t="s">
        <v>200</v>
      </c>
      <c r="BJ229" s="50" t="s">
        <v>200</v>
      </c>
      <c r="BK229" s="50" t="s">
        <v>200</v>
      </c>
      <c r="BL229" s="50" t="s">
        <v>200</v>
      </c>
      <c r="BM229" s="50" t="s">
        <v>436</v>
      </c>
      <c r="BN229" s="50" t="s">
        <v>318</v>
      </c>
      <c r="BO229" s="50" t="s">
        <v>91</v>
      </c>
      <c r="BP229" s="50" t="s">
        <v>286</v>
      </c>
      <c r="BQ229" s="50" t="s">
        <v>287</v>
      </c>
      <c r="BR229" s="50" t="s">
        <v>382</v>
      </c>
      <c r="BS229" s="111">
        <v>5</v>
      </c>
      <c r="BT229" s="50" t="s">
        <v>286</v>
      </c>
      <c r="BU229" s="50" t="s">
        <v>312</v>
      </c>
      <c r="BV229" s="50" t="s">
        <v>288</v>
      </c>
      <c r="BW229" s="50" t="s">
        <v>304</v>
      </c>
      <c r="BX229" s="50" t="s">
        <v>290</v>
      </c>
      <c r="BY229" s="50" t="s">
        <v>288</v>
      </c>
      <c r="BZ229" s="50"/>
      <c r="CA229" s="50"/>
      <c r="CB229" s="50" t="s">
        <v>287</v>
      </c>
      <c r="CC229" s="50" t="s">
        <v>287</v>
      </c>
      <c r="CD229" s="50" t="s">
        <v>287</v>
      </c>
      <c r="CE229" s="50"/>
      <c r="CF229" s="50" t="s">
        <v>287</v>
      </c>
      <c r="CG229" s="50" t="s">
        <v>287</v>
      </c>
      <c r="CH229" s="50" t="s">
        <v>486</v>
      </c>
      <c r="CI229" s="50" t="s">
        <v>287</v>
      </c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1:97" ht="36.75" customHeight="1" thickBot="1">
      <c r="A230" s="49">
        <v>46090.280949074076</v>
      </c>
      <c r="B230" s="50" t="s">
        <v>40</v>
      </c>
      <c r="C230" s="50" t="s">
        <v>46</v>
      </c>
      <c r="D230" s="50" t="s">
        <v>374</v>
      </c>
      <c r="E230" s="50" t="s">
        <v>62</v>
      </c>
      <c r="F230" s="50" t="s">
        <v>286</v>
      </c>
      <c r="G230" s="50" t="s">
        <v>74</v>
      </c>
      <c r="H230" s="50" t="s">
        <v>365</v>
      </c>
      <c r="I230" s="50" t="s">
        <v>81</v>
      </c>
      <c r="J230" s="50" t="s">
        <v>286</v>
      </c>
      <c r="K230" s="50" t="s">
        <v>287</v>
      </c>
      <c r="L230" s="50" t="s">
        <v>554</v>
      </c>
      <c r="M230" s="50" t="s">
        <v>319</v>
      </c>
      <c r="N230" s="111">
        <v>5</v>
      </c>
      <c r="O230" s="111">
        <v>5</v>
      </c>
      <c r="P230" s="111">
        <v>5</v>
      </c>
      <c r="Q230" s="111">
        <v>5</v>
      </c>
      <c r="R230" s="111">
        <v>5</v>
      </c>
      <c r="S230" s="111">
        <v>5</v>
      </c>
      <c r="T230" s="111">
        <v>5</v>
      </c>
      <c r="U230" s="111">
        <v>5</v>
      </c>
      <c r="V230" s="111">
        <v>5</v>
      </c>
      <c r="W230" s="111">
        <v>5</v>
      </c>
      <c r="X230" s="111">
        <v>5</v>
      </c>
      <c r="Y230" s="111">
        <v>5</v>
      </c>
      <c r="Z230" s="111">
        <v>5</v>
      </c>
      <c r="AA230" s="111">
        <v>5</v>
      </c>
      <c r="AB230" s="111">
        <v>5</v>
      </c>
      <c r="AC230" s="111">
        <v>5</v>
      </c>
      <c r="AD230" s="111">
        <v>5</v>
      </c>
      <c r="AE230" s="111">
        <v>5</v>
      </c>
      <c r="AF230" s="111">
        <v>5</v>
      </c>
      <c r="AG230" s="111">
        <v>5</v>
      </c>
      <c r="AH230" s="111">
        <v>5</v>
      </c>
      <c r="AI230" s="111">
        <v>5</v>
      </c>
      <c r="AJ230" s="111">
        <v>5</v>
      </c>
      <c r="AK230" s="111">
        <v>5</v>
      </c>
      <c r="AL230" s="111">
        <v>5</v>
      </c>
      <c r="AM230" s="111">
        <v>5</v>
      </c>
      <c r="AN230" s="111">
        <v>5</v>
      </c>
      <c r="AO230" s="111">
        <v>5</v>
      </c>
      <c r="AP230" s="111">
        <v>5</v>
      </c>
      <c r="AQ230" s="111">
        <v>5</v>
      </c>
      <c r="AR230" s="111">
        <v>5</v>
      </c>
      <c r="AS230" s="111">
        <v>5</v>
      </c>
      <c r="AT230" s="111">
        <v>5</v>
      </c>
      <c r="AU230" s="111">
        <v>5</v>
      </c>
      <c r="AV230" s="50" t="s">
        <v>199</v>
      </c>
      <c r="AW230" s="50" t="s">
        <v>199</v>
      </c>
      <c r="AX230" s="50" t="s">
        <v>199</v>
      </c>
      <c r="AY230" s="50" t="s">
        <v>200</v>
      </c>
      <c r="AZ230" s="50" t="s">
        <v>200</v>
      </c>
      <c r="BA230" s="50" t="s">
        <v>200</v>
      </c>
      <c r="BB230" s="50" t="s">
        <v>200</v>
      </c>
      <c r="BC230" s="50" t="s">
        <v>200</v>
      </c>
      <c r="BD230" s="50" t="s">
        <v>200</v>
      </c>
      <c r="BE230" s="50" t="s">
        <v>200</v>
      </c>
      <c r="BF230" s="50" t="s">
        <v>200</v>
      </c>
      <c r="BG230" s="50" t="s">
        <v>200</v>
      </c>
      <c r="BH230" s="50" t="s">
        <v>200</v>
      </c>
      <c r="BI230" s="50" t="s">
        <v>200</v>
      </c>
      <c r="BJ230" s="50" t="s">
        <v>200</v>
      </c>
      <c r="BK230" s="50" t="s">
        <v>200</v>
      </c>
      <c r="BL230" s="50" t="s">
        <v>200</v>
      </c>
      <c r="BM230" s="50" t="s">
        <v>436</v>
      </c>
      <c r="BN230" s="50" t="s">
        <v>318</v>
      </c>
      <c r="BO230" s="50" t="s">
        <v>91</v>
      </c>
      <c r="BP230" s="50" t="s">
        <v>286</v>
      </c>
      <c r="BQ230" s="50" t="s">
        <v>287</v>
      </c>
      <c r="BR230" s="50" t="s">
        <v>403</v>
      </c>
      <c r="BS230" s="111">
        <v>5</v>
      </c>
      <c r="BT230" s="50" t="s">
        <v>286</v>
      </c>
      <c r="BU230" s="50" t="s">
        <v>312</v>
      </c>
      <c r="BV230" s="50" t="s">
        <v>288</v>
      </c>
      <c r="BW230" s="50" t="s">
        <v>289</v>
      </c>
      <c r="BX230" s="50" t="s">
        <v>300</v>
      </c>
      <c r="BY230" s="50" t="s">
        <v>288</v>
      </c>
      <c r="BZ230" s="50" t="s">
        <v>287</v>
      </c>
      <c r="CA230" s="50"/>
      <c r="CB230" s="50" t="s">
        <v>287</v>
      </c>
      <c r="CC230" s="50" t="s">
        <v>287</v>
      </c>
      <c r="CD230" s="50" t="s">
        <v>287</v>
      </c>
      <c r="CE230" s="50"/>
      <c r="CF230" s="50" t="s">
        <v>287</v>
      </c>
      <c r="CG230" s="50" t="s">
        <v>287</v>
      </c>
      <c r="CH230" s="50" t="s">
        <v>486</v>
      </c>
      <c r="CI230" s="50" t="s">
        <v>287</v>
      </c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1:97" ht="36.75" customHeight="1" thickBot="1">
      <c r="A231" s="49">
        <v>46090.283182870371</v>
      </c>
      <c r="B231" s="50" t="s">
        <v>40</v>
      </c>
      <c r="C231" s="50" t="s">
        <v>45</v>
      </c>
      <c r="D231" s="50" t="s">
        <v>374</v>
      </c>
      <c r="E231" s="50" t="s">
        <v>61</v>
      </c>
      <c r="F231" s="50" t="s">
        <v>286</v>
      </c>
      <c r="G231" s="50" t="s">
        <v>292</v>
      </c>
      <c r="H231" s="50" t="s">
        <v>330</v>
      </c>
      <c r="I231" s="50" t="s">
        <v>81</v>
      </c>
      <c r="J231" s="50" t="s">
        <v>286</v>
      </c>
      <c r="K231" s="50" t="s">
        <v>287</v>
      </c>
      <c r="L231" s="50" t="s">
        <v>286</v>
      </c>
      <c r="M231" s="50" t="s">
        <v>319</v>
      </c>
      <c r="N231" s="111">
        <v>5</v>
      </c>
      <c r="O231" s="111">
        <v>5</v>
      </c>
      <c r="P231" s="111">
        <v>5</v>
      </c>
      <c r="Q231" s="111">
        <v>5</v>
      </c>
      <c r="R231" s="111">
        <v>5</v>
      </c>
      <c r="S231" s="111">
        <v>5</v>
      </c>
      <c r="T231" s="111">
        <v>5</v>
      </c>
      <c r="U231" s="111">
        <v>5</v>
      </c>
      <c r="V231" s="111">
        <v>5</v>
      </c>
      <c r="W231" s="111">
        <v>5</v>
      </c>
      <c r="X231" s="111">
        <v>5</v>
      </c>
      <c r="Y231" s="111">
        <v>5</v>
      </c>
      <c r="Z231" s="111">
        <v>5</v>
      </c>
      <c r="AA231" s="111">
        <v>5</v>
      </c>
      <c r="AB231" s="111">
        <v>5</v>
      </c>
      <c r="AC231" s="111">
        <v>5</v>
      </c>
      <c r="AD231" s="111">
        <v>5</v>
      </c>
      <c r="AE231" s="111">
        <v>5</v>
      </c>
      <c r="AF231" s="111">
        <v>5</v>
      </c>
      <c r="AG231" s="111">
        <v>5</v>
      </c>
      <c r="AH231" s="111">
        <v>5</v>
      </c>
      <c r="AI231" s="111">
        <v>5</v>
      </c>
      <c r="AJ231" s="111">
        <v>5</v>
      </c>
      <c r="AK231" s="111">
        <v>5</v>
      </c>
      <c r="AL231" s="111">
        <v>5</v>
      </c>
      <c r="AM231" s="111">
        <v>5</v>
      </c>
      <c r="AN231" s="111">
        <v>5</v>
      </c>
      <c r="AO231" s="111">
        <v>5</v>
      </c>
      <c r="AP231" s="111">
        <v>5</v>
      </c>
      <c r="AQ231" s="111">
        <v>5</v>
      </c>
      <c r="AR231" s="111">
        <v>5</v>
      </c>
      <c r="AS231" s="111">
        <v>5</v>
      </c>
      <c r="AT231" s="111">
        <v>5</v>
      </c>
      <c r="AU231" s="111">
        <v>5</v>
      </c>
      <c r="AV231" s="50" t="s">
        <v>199</v>
      </c>
      <c r="AW231" s="50" t="s">
        <v>199</v>
      </c>
      <c r="AX231" s="50" t="s">
        <v>199</v>
      </c>
      <c r="AY231" s="50" t="s">
        <v>200</v>
      </c>
      <c r="AZ231" s="50" t="s">
        <v>200</v>
      </c>
      <c r="BA231" s="50" t="s">
        <v>200</v>
      </c>
      <c r="BB231" s="50" t="s">
        <v>200</v>
      </c>
      <c r="BC231" s="50" t="s">
        <v>200</v>
      </c>
      <c r="BD231" s="50" t="s">
        <v>200</v>
      </c>
      <c r="BE231" s="50" t="s">
        <v>200</v>
      </c>
      <c r="BF231" s="50" t="s">
        <v>200</v>
      </c>
      <c r="BG231" s="50" t="s">
        <v>200</v>
      </c>
      <c r="BH231" s="50" t="s">
        <v>200</v>
      </c>
      <c r="BI231" s="50" t="s">
        <v>200</v>
      </c>
      <c r="BJ231" s="50" t="s">
        <v>200</v>
      </c>
      <c r="BK231" s="50" t="s">
        <v>200</v>
      </c>
      <c r="BL231" s="50" t="s">
        <v>200</v>
      </c>
      <c r="BM231" s="50" t="s">
        <v>436</v>
      </c>
      <c r="BN231" s="50" t="s">
        <v>318</v>
      </c>
      <c r="BO231" s="50" t="s">
        <v>91</v>
      </c>
      <c r="BP231" s="50" t="s">
        <v>286</v>
      </c>
      <c r="BQ231" s="50" t="s">
        <v>287</v>
      </c>
      <c r="BR231" s="50" t="s">
        <v>403</v>
      </c>
      <c r="BS231" s="111">
        <v>5</v>
      </c>
      <c r="BT231" s="50" t="s">
        <v>286</v>
      </c>
      <c r="BU231" s="50" t="s">
        <v>312</v>
      </c>
      <c r="BV231" s="50" t="s">
        <v>288</v>
      </c>
      <c r="BW231" s="50" t="s">
        <v>304</v>
      </c>
      <c r="BX231" s="50" t="s">
        <v>300</v>
      </c>
      <c r="BY231" s="50" t="s">
        <v>288</v>
      </c>
      <c r="BZ231" s="50" t="s">
        <v>287</v>
      </c>
      <c r="CA231" s="50"/>
      <c r="CB231" s="50" t="s">
        <v>287</v>
      </c>
      <c r="CC231" s="50" t="s">
        <v>287</v>
      </c>
      <c r="CD231" s="50" t="s">
        <v>287</v>
      </c>
      <c r="CE231" s="50"/>
      <c r="CF231" s="50" t="s">
        <v>287</v>
      </c>
      <c r="CG231" s="50" t="s">
        <v>287</v>
      </c>
      <c r="CH231" s="50" t="s">
        <v>486</v>
      </c>
      <c r="CI231" s="50" t="s">
        <v>287</v>
      </c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1:97" ht="36.75" customHeight="1" thickBot="1">
      <c r="A232" s="49">
        <v>46090.28628472222</v>
      </c>
      <c r="B232" s="50" t="s">
        <v>40</v>
      </c>
      <c r="C232" s="50" t="s">
        <v>46</v>
      </c>
      <c r="D232" s="50" t="s">
        <v>374</v>
      </c>
      <c r="E232" s="50" t="s">
        <v>61</v>
      </c>
      <c r="F232" s="50" t="s">
        <v>286</v>
      </c>
      <c r="G232" s="50" t="s">
        <v>73</v>
      </c>
      <c r="H232" s="50" t="s">
        <v>322</v>
      </c>
      <c r="I232" s="50" t="s">
        <v>81</v>
      </c>
      <c r="J232" s="50" t="s">
        <v>286</v>
      </c>
      <c r="K232" s="50" t="s">
        <v>287</v>
      </c>
      <c r="L232" s="50" t="s">
        <v>555</v>
      </c>
      <c r="M232" s="50" t="s">
        <v>319</v>
      </c>
      <c r="N232" s="111">
        <v>5</v>
      </c>
      <c r="O232" s="111">
        <v>5</v>
      </c>
      <c r="P232" s="111">
        <v>5</v>
      </c>
      <c r="Q232" s="111">
        <v>5</v>
      </c>
      <c r="R232" s="111">
        <v>5</v>
      </c>
      <c r="S232" s="111">
        <v>5</v>
      </c>
      <c r="T232" s="111">
        <v>5</v>
      </c>
      <c r="U232" s="111">
        <v>5</v>
      </c>
      <c r="V232" s="111">
        <v>5</v>
      </c>
      <c r="W232" s="111">
        <v>5</v>
      </c>
      <c r="X232" s="111">
        <v>5</v>
      </c>
      <c r="Y232" s="111">
        <v>5</v>
      </c>
      <c r="Z232" s="111">
        <v>5</v>
      </c>
      <c r="AA232" s="111">
        <v>5</v>
      </c>
      <c r="AB232" s="111">
        <v>5</v>
      </c>
      <c r="AC232" s="111">
        <v>5</v>
      </c>
      <c r="AD232" s="111">
        <v>5</v>
      </c>
      <c r="AE232" s="111">
        <v>5</v>
      </c>
      <c r="AF232" s="111">
        <v>5</v>
      </c>
      <c r="AG232" s="111">
        <v>5</v>
      </c>
      <c r="AH232" s="111">
        <v>5</v>
      </c>
      <c r="AI232" s="111">
        <v>5</v>
      </c>
      <c r="AJ232" s="111">
        <v>5</v>
      </c>
      <c r="AK232" s="111">
        <v>5</v>
      </c>
      <c r="AL232" s="111">
        <v>5</v>
      </c>
      <c r="AM232" s="111">
        <v>5</v>
      </c>
      <c r="AN232" s="111">
        <v>5</v>
      </c>
      <c r="AO232" s="111">
        <v>5</v>
      </c>
      <c r="AP232" s="111">
        <v>5</v>
      </c>
      <c r="AQ232" s="111">
        <v>5</v>
      </c>
      <c r="AR232" s="111">
        <v>5</v>
      </c>
      <c r="AS232" s="111">
        <v>5</v>
      </c>
      <c r="AT232" s="111">
        <v>5</v>
      </c>
      <c r="AU232" s="111">
        <v>5</v>
      </c>
      <c r="AV232" s="50" t="s">
        <v>199</v>
      </c>
      <c r="AW232" s="50" t="s">
        <v>199</v>
      </c>
      <c r="AX232" s="50" t="s">
        <v>199</v>
      </c>
      <c r="AY232" s="50" t="s">
        <v>200</v>
      </c>
      <c r="AZ232" s="50" t="s">
        <v>200</v>
      </c>
      <c r="BA232" s="50" t="s">
        <v>200</v>
      </c>
      <c r="BB232" s="50" t="s">
        <v>200</v>
      </c>
      <c r="BC232" s="50" t="s">
        <v>200</v>
      </c>
      <c r="BD232" s="50" t="s">
        <v>200</v>
      </c>
      <c r="BE232" s="50" t="s">
        <v>200</v>
      </c>
      <c r="BF232" s="50" t="s">
        <v>200</v>
      </c>
      <c r="BG232" s="50" t="s">
        <v>200</v>
      </c>
      <c r="BH232" s="50" t="s">
        <v>200</v>
      </c>
      <c r="BI232" s="50" t="s">
        <v>200</v>
      </c>
      <c r="BJ232" s="50" t="s">
        <v>200</v>
      </c>
      <c r="BK232" s="50" t="s">
        <v>200</v>
      </c>
      <c r="BL232" s="50" t="s">
        <v>200</v>
      </c>
      <c r="BM232" s="50" t="s">
        <v>436</v>
      </c>
      <c r="BN232" s="50" t="s">
        <v>318</v>
      </c>
      <c r="BO232" s="50" t="s">
        <v>91</v>
      </c>
      <c r="BP232" s="50" t="s">
        <v>286</v>
      </c>
      <c r="BQ232" s="50" t="s">
        <v>287</v>
      </c>
      <c r="BR232" s="50" t="s">
        <v>373</v>
      </c>
      <c r="BS232" s="111">
        <v>5</v>
      </c>
      <c r="BT232" s="50" t="s">
        <v>286</v>
      </c>
      <c r="BU232" s="50" t="s">
        <v>312</v>
      </c>
      <c r="BV232" s="50" t="s">
        <v>288</v>
      </c>
      <c r="BW232" s="50" t="s">
        <v>297</v>
      </c>
      <c r="BX232" s="50" t="s">
        <v>290</v>
      </c>
      <c r="BY232" s="50" t="s">
        <v>288</v>
      </c>
      <c r="BZ232" s="50" t="s">
        <v>287</v>
      </c>
      <c r="CA232" s="50"/>
      <c r="CB232" s="50" t="s">
        <v>287</v>
      </c>
      <c r="CC232" s="50" t="s">
        <v>287</v>
      </c>
      <c r="CD232" s="50" t="s">
        <v>287</v>
      </c>
      <c r="CE232" s="50"/>
      <c r="CF232" s="50" t="s">
        <v>287</v>
      </c>
      <c r="CG232" s="50" t="s">
        <v>287</v>
      </c>
      <c r="CH232" s="50" t="s">
        <v>486</v>
      </c>
      <c r="CI232" s="50" t="s">
        <v>287</v>
      </c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</row>
    <row r="233" spans="1:97" ht="36.75" customHeight="1" thickBot="1">
      <c r="A233" s="49">
        <v>46090.384664351855</v>
      </c>
      <c r="B233" s="50" t="s">
        <v>40</v>
      </c>
      <c r="C233" s="50" t="s">
        <v>45</v>
      </c>
      <c r="D233" s="50" t="s">
        <v>369</v>
      </c>
      <c r="E233" s="50" t="s">
        <v>61</v>
      </c>
      <c r="F233" s="50" t="s">
        <v>286</v>
      </c>
      <c r="G233" s="50" t="s">
        <v>74</v>
      </c>
      <c r="H233" s="50" t="s">
        <v>338</v>
      </c>
      <c r="I233" s="50" t="s">
        <v>81</v>
      </c>
      <c r="J233" s="50" t="s">
        <v>286</v>
      </c>
      <c r="K233" s="50" t="s">
        <v>287</v>
      </c>
      <c r="L233" s="50" t="s">
        <v>379</v>
      </c>
      <c r="M233" s="50" t="s">
        <v>370</v>
      </c>
      <c r="N233" s="111">
        <v>5</v>
      </c>
      <c r="O233" s="111">
        <v>5</v>
      </c>
      <c r="P233" s="111">
        <v>5</v>
      </c>
      <c r="Q233" s="111">
        <v>5</v>
      </c>
      <c r="R233" s="111">
        <v>5</v>
      </c>
      <c r="S233" s="111">
        <v>6</v>
      </c>
      <c r="T233" s="111">
        <v>5</v>
      </c>
      <c r="U233" s="111">
        <v>5</v>
      </c>
      <c r="V233" s="111">
        <v>6</v>
      </c>
      <c r="W233" s="111">
        <v>6</v>
      </c>
      <c r="X233" s="111">
        <v>6</v>
      </c>
      <c r="Y233" s="111">
        <v>6</v>
      </c>
      <c r="Z233" s="111">
        <v>6</v>
      </c>
      <c r="AA233" s="111">
        <v>6</v>
      </c>
      <c r="AB233" s="111">
        <v>6</v>
      </c>
      <c r="AC233" s="111">
        <v>5</v>
      </c>
      <c r="AD233" s="111">
        <v>5</v>
      </c>
      <c r="AE233" s="111">
        <v>5</v>
      </c>
      <c r="AF233" s="111">
        <v>5</v>
      </c>
      <c r="AG233" s="111">
        <v>5</v>
      </c>
      <c r="AH233" s="111">
        <v>5</v>
      </c>
      <c r="AI233" s="111">
        <v>5</v>
      </c>
      <c r="AJ233" s="111">
        <v>5</v>
      </c>
      <c r="AK233" s="111">
        <v>5</v>
      </c>
      <c r="AL233" s="111">
        <v>5</v>
      </c>
      <c r="AM233" s="111">
        <v>5</v>
      </c>
      <c r="AN233" s="111">
        <v>5</v>
      </c>
      <c r="AO233" s="111">
        <v>5</v>
      </c>
      <c r="AP233" s="111">
        <v>5</v>
      </c>
      <c r="AQ233" s="111">
        <v>6</v>
      </c>
      <c r="AR233" s="111">
        <v>5</v>
      </c>
      <c r="AS233" s="111">
        <v>5</v>
      </c>
      <c r="AT233" s="111">
        <v>5</v>
      </c>
      <c r="AU233" s="111">
        <v>5</v>
      </c>
      <c r="AV233" s="50" t="s">
        <v>202</v>
      </c>
      <c r="AW233" s="50" t="s">
        <v>202</v>
      </c>
      <c r="AX233" s="50" t="s">
        <v>201</v>
      </c>
      <c r="AY233" s="50" t="s">
        <v>199</v>
      </c>
      <c r="AZ233" s="50" t="s">
        <v>202</v>
      </c>
      <c r="BA233" s="50" t="s">
        <v>200</v>
      </c>
      <c r="BB233" s="50" t="s">
        <v>202</v>
      </c>
      <c r="BC233" s="50" t="s">
        <v>202</v>
      </c>
      <c r="BD233" s="50" t="s">
        <v>202</v>
      </c>
      <c r="BE233" s="50" t="s">
        <v>202</v>
      </c>
      <c r="BF233" s="50" t="s">
        <v>201</v>
      </c>
      <c r="BG233" s="50" t="s">
        <v>202</v>
      </c>
      <c r="BH233" s="50" t="s">
        <v>201</v>
      </c>
      <c r="BI233" s="50" t="s">
        <v>202</v>
      </c>
      <c r="BJ233" s="50" t="s">
        <v>202</v>
      </c>
      <c r="BK233" s="50" t="s">
        <v>202</v>
      </c>
      <c r="BL233" s="50" t="s">
        <v>202</v>
      </c>
      <c r="BM233" s="50" t="s">
        <v>436</v>
      </c>
      <c r="BN233" s="50" t="s">
        <v>318</v>
      </c>
      <c r="BO233" s="50" t="s">
        <v>91</v>
      </c>
      <c r="BP233" s="50" t="s">
        <v>286</v>
      </c>
      <c r="BQ233" s="50" t="s">
        <v>287</v>
      </c>
      <c r="BR233" s="50" t="s">
        <v>372</v>
      </c>
      <c r="BS233" s="111">
        <v>5</v>
      </c>
      <c r="BT233" s="50" t="s">
        <v>286</v>
      </c>
      <c r="BU233" s="50" t="s">
        <v>348</v>
      </c>
      <c r="BV233" s="50" t="s">
        <v>288</v>
      </c>
      <c r="BW233" s="50" t="s">
        <v>350</v>
      </c>
      <c r="BX233" s="50" t="s">
        <v>387</v>
      </c>
      <c r="BY233" s="50" t="s">
        <v>288</v>
      </c>
      <c r="BZ233" s="50" t="s">
        <v>287</v>
      </c>
      <c r="CA233" s="50"/>
      <c r="CB233" s="50" t="s">
        <v>287</v>
      </c>
      <c r="CC233" s="50" t="s">
        <v>287</v>
      </c>
      <c r="CD233" s="50" t="s">
        <v>287</v>
      </c>
      <c r="CE233" s="50"/>
      <c r="CF233" s="50" t="s">
        <v>287</v>
      </c>
      <c r="CG233" s="50" t="s">
        <v>287</v>
      </c>
      <c r="CH233" s="50" t="s">
        <v>486</v>
      </c>
      <c r="CI233" s="50" t="s">
        <v>287</v>
      </c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</row>
    <row r="234" spans="1:97" ht="36.75" customHeight="1" thickBot="1">
      <c r="A234" s="49">
        <v>46090.388252314813</v>
      </c>
      <c r="B234" s="50" t="s">
        <v>38</v>
      </c>
      <c r="C234" s="50" t="s">
        <v>46</v>
      </c>
      <c r="D234" s="50" t="s">
        <v>369</v>
      </c>
      <c r="E234" s="50" t="s">
        <v>285</v>
      </c>
      <c r="F234" s="50" t="s">
        <v>286</v>
      </c>
      <c r="G234" s="50" t="s">
        <v>74</v>
      </c>
      <c r="H234" s="50" t="s">
        <v>306</v>
      </c>
      <c r="I234" s="50" t="s">
        <v>91</v>
      </c>
      <c r="J234" s="50" t="s">
        <v>286</v>
      </c>
      <c r="K234" s="50" t="s">
        <v>291</v>
      </c>
      <c r="L234" s="50" t="s">
        <v>286</v>
      </c>
      <c r="M234" s="50" t="s">
        <v>370</v>
      </c>
      <c r="N234" s="111">
        <v>5</v>
      </c>
      <c r="O234" s="111">
        <v>5</v>
      </c>
      <c r="P234" s="111">
        <v>5</v>
      </c>
      <c r="Q234" s="111">
        <v>5</v>
      </c>
      <c r="R234" s="111">
        <v>5</v>
      </c>
      <c r="S234" s="111">
        <v>6</v>
      </c>
      <c r="T234" s="111">
        <v>5</v>
      </c>
      <c r="U234" s="111">
        <v>5</v>
      </c>
      <c r="V234" s="111">
        <v>6</v>
      </c>
      <c r="W234" s="111">
        <v>6</v>
      </c>
      <c r="X234" s="111">
        <v>6</v>
      </c>
      <c r="Y234" s="111">
        <v>6</v>
      </c>
      <c r="Z234" s="111">
        <v>6</v>
      </c>
      <c r="AA234" s="111">
        <v>6</v>
      </c>
      <c r="AB234" s="111">
        <v>6</v>
      </c>
      <c r="AC234" s="111">
        <v>5</v>
      </c>
      <c r="AD234" s="111">
        <v>5</v>
      </c>
      <c r="AE234" s="111">
        <v>5</v>
      </c>
      <c r="AF234" s="111">
        <v>5</v>
      </c>
      <c r="AG234" s="111">
        <v>5</v>
      </c>
      <c r="AH234" s="111">
        <v>5</v>
      </c>
      <c r="AI234" s="111">
        <v>5</v>
      </c>
      <c r="AJ234" s="111">
        <v>5</v>
      </c>
      <c r="AK234" s="111">
        <v>5</v>
      </c>
      <c r="AL234" s="111">
        <v>5</v>
      </c>
      <c r="AM234" s="111">
        <v>5</v>
      </c>
      <c r="AN234" s="111">
        <v>5</v>
      </c>
      <c r="AO234" s="111">
        <v>5</v>
      </c>
      <c r="AP234" s="111">
        <v>5</v>
      </c>
      <c r="AQ234" s="111">
        <v>6</v>
      </c>
      <c r="AR234" s="111">
        <v>5</v>
      </c>
      <c r="AS234" s="111">
        <v>5</v>
      </c>
      <c r="AT234" s="111">
        <v>5</v>
      </c>
      <c r="AU234" s="111">
        <v>5</v>
      </c>
      <c r="AV234" s="50" t="s">
        <v>202</v>
      </c>
      <c r="AW234" s="50" t="s">
        <v>202</v>
      </c>
      <c r="AX234" s="50" t="s">
        <v>200</v>
      </c>
      <c r="AY234" s="50" t="s">
        <v>199</v>
      </c>
      <c r="AZ234" s="50" t="s">
        <v>202</v>
      </c>
      <c r="BA234" s="50" t="s">
        <v>199</v>
      </c>
      <c r="BB234" s="50" t="s">
        <v>202</v>
      </c>
      <c r="BC234" s="50" t="s">
        <v>202</v>
      </c>
      <c r="BD234" s="50" t="s">
        <v>202</v>
      </c>
      <c r="BE234" s="50" t="s">
        <v>202</v>
      </c>
      <c r="BF234" s="50" t="s">
        <v>201</v>
      </c>
      <c r="BG234" s="50" t="s">
        <v>202</v>
      </c>
      <c r="BH234" s="50" t="s">
        <v>201</v>
      </c>
      <c r="BI234" s="50" t="s">
        <v>202</v>
      </c>
      <c r="BJ234" s="50" t="s">
        <v>202</v>
      </c>
      <c r="BK234" s="50" t="s">
        <v>202</v>
      </c>
      <c r="BL234" s="50" t="s">
        <v>202</v>
      </c>
      <c r="BM234" s="50" t="s">
        <v>436</v>
      </c>
      <c r="BN234" s="50" t="s">
        <v>318</v>
      </c>
      <c r="BO234" s="50" t="s">
        <v>91</v>
      </c>
      <c r="BP234" s="50" t="s">
        <v>286</v>
      </c>
      <c r="BQ234" s="50" t="s">
        <v>287</v>
      </c>
      <c r="BR234" s="50" t="s">
        <v>372</v>
      </c>
      <c r="BS234" s="111">
        <v>5</v>
      </c>
      <c r="BT234" s="50" t="s">
        <v>286</v>
      </c>
      <c r="BU234" s="50" t="s">
        <v>348</v>
      </c>
      <c r="BV234" s="50" t="s">
        <v>288</v>
      </c>
      <c r="BW234" s="50" t="s">
        <v>350</v>
      </c>
      <c r="BX234" s="50" t="s">
        <v>387</v>
      </c>
      <c r="BY234" s="50" t="s">
        <v>288</v>
      </c>
      <c r="BZ234" s="50" t="s">
        <v>287</v>
      </c>
      <c r="CA234" s="50"/>
      <c r="CB234" s="50" t="s">
        <v>287</v>
      </c>
      <c r="CC234" s="50" t="s">
        <v>287</v>
      </c>
      <c r="CD234" s="50" t="s">
        <v>287</v>
      </c>
      <c r="CE234" s="50"/>
      <c r="CF234" s="50" t="s">
        <v>287</v>
      </c>
      <c r="CG234" s="50" t="s">
        <v>287</v>
      </c>
      <c r="CH234" s="50" t="s">
        <v>486</v>
      </c>
      <c r="CI234" s="50" t="s">
        <v>287</v>
      </c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</row>
    <row r="235" spans="1:97" ht="36.75" customHeight="1" thickBot="1">
      <c r="A235" s="49">
        <v>46090.391493055555</v>
      </c>
      <c r="B235" s="50" t="s">
        <v>40</v>
      </c>
      <c r="C235" s="50" t="s">
        <v>45</v>
      </c>
      <c r="D235" s="50" t="s">
        <v>369</v>
      </c>
      <c r="E235" s="50" t="s">
        <v>61</v>
      </c>
      <c r="F235" s="50" t="s">
        <v>286</v>
      </c>
      <c r="G235" s="50" t="s">
        <v>73</v>
      </c>
      <c r="H235" s="50" t="s">
        <v>556</v>
      </c>
      <c r="I235" s="50" t="s">
        <v>81</v>
      </c>
      <c r="J235" s="50" t="s">
        <v>286</v>
      </c>
      <c r="K235" s="50" t="s">
        <v>287</v>
      </c>
      <c r="L235" s="50" t="s">
        <v>336</v>
      </c>
      <c r="M235" s="50" t="s">
        <v>7</v>
      </c>
      <c r="N235" s="111">
        <v>5</v>
      </c>
      <c r="O235" s="111">
        <v>5</v>
      </c>
      <c r="P235" s="111">
        <v>5</v>
      </c>
      <c r="Q235" s="111">
        <v>5</v>
      </c>
      <c r="R235" s="111">
        <v>5</v>
      </c>
      <c r="S235" s="111">
        <v>5</v>
      </c>
      <c r="T235" s="111">
        <v>5</v>
      </c>
      <c r="U235" s="111">
        <v>5</v>
      </c>
      <c r="V235" s="111">
        <v>5</v>
      </c>
      <c r="W235" s="111">
        <v>5</v>
      </c>
      <c r="X235" s="111">
        <v>5</v>
      </c>
      <c r="Y235" s="111">
        <v>5</v>
      </c>
      <c r="Z235" s="111">
        <v>5</v>
      </c>
      <c r="AA235" s="111">
        <v>5</v>
      </c>
      <c r="AB235" s="111">
        <v>5</v>
      </c>
      <c r="AC235" s="111">
        <v>5</v>
      </c>
      <c r="AD235" s="111">
        <v>5</v>
      </c>
      <c r="AE235" s="111">
        <v>5</v>
      </c>
      <c r="AF235" s="111">
        <v>5</v>
      </c>
      <c r="AG235" s="111">
        <v>5</v>
      </c>
      <c r="AH235" s="111">
        <v>5</v>
      </c>
      <c r="AI235" s="111">
        <v>5</v>
      </c>
      <c r="AJ235" s="111">
        <v>5</v>
      </c>
      <c r="AK235" s="111">
        <v>5</v>
      </c>
      <c r="AL235" s="111">
        <v>5</v>
      </c>
      <c r="AM235" s="111">
        <v>5</v>
      </c>
      <c r="AN235" s="111">
        <v>5</v>
      </c>
      <c r="AO235" s="111">
        <v>5</v>
      </c>
      <c r="AP235" s="111">
        <v>5</v>
      </c>
      <c r="AQ235" s="111">
        <v>5</v>
      </c>
      <c r="AR235" s="111">
        <v>5</v>
      </c>
      <c r="AS235" s="111">
        <v>5</v>
      </c>
      <c r="AT235" s="111">
        <v>5</v>
      </c>
      <c r="AU235" s="111">
        <v>5</v>
      </c>
      <c r="AV235" s="50" t="s">
        <v>199</v>
      </c>
      <c r="AW235" s="50" t="s">
        <v>199</v>
      </c>
      <c r="AX235" s="50" t="s">
        <v>199</v>
      </c>
      <c r="AY235" s="50" t="s">
        <v>200</v>
      </c>
      <c r="AZ235" s="50" t="s">
        <v>200</v>
      </c>
      <c r="BA235" s="50" t="s">
        <v>200</v>
      </c>
      <c r="BB235" s="50" t="s">
        <v>200</v>
      </c>
      <c r="BC235" s="50" t="s">
        <v>200</v>
      </c>
      <c r="BD235" s="50" t="s">
        <v>200</v>
      </c>
      <c r="BE235" s="50" t="s">
        <v>200</v>
      </c>
      <c r="BF235" s="50" t="s">
        <v>200</v>
      </c>
      <c r="BG235" s="50" t="s">
        <v>200</v>
      </c>
      <c r="BH235" s="50" t="s">
        <v>200</v>
      </c>
      <c r="BI235" s="50" t="s">
        <v>200</v>
      </c>
      <c r="BJ235" s="50" t="s">
        <v>200</v>
      </c>
      <c r="BK235" s="50" t="s">
        <v>200</v>
      </c>
      <c r="BL235" s="50" t="s">
        <v>200</v>
      </c>
      <c r="BM235" s="50" t="s">
        <v>436</v>
      </c>
      <c r="BN235" s="50" t="s">
        <v>318</v>
      </c>
      <c r="BO235" s="50" t="s">
        <v>91</v>
      </c>
      <c r="BP235" s="50" t="s">
        <v>286</v>
      </c>
      <c r="BQ235" s="50" t="s">
        <v>287</v>
      </c>
      <c r="BR235" s="50" t="s">
        <v>403</v>
      </c>
      <c r="BS235" s="111">
        <v>4</v>
      </c>
      <c r="BT235" s="50" t="s">
        <v>286</v>
      </c>
      <c r="BU235" s="50" t="s">
        <v>312</v>
      </c>
      <c r="BV235" s="50" t="s">
        <v>288</v>
      </c>
      <c r="BW235" s="50" t="s">
        <v>303</v>
      </c>
      <c r="BX235" s="50" t="s">
        <v>296</v>
      </c>
      <c r="BY235" s="50" t="s">
        <v>288</v>
      </c>
      <c r="BZ235" s="50" t="s">
        <v>287</v>
      </c>
      <c r="CA235" s="50"/>
      <c r="CB235" s="50" t="s">
        <v>287</v>
      </c>
      <c r="CC235" s="50" t="s">
        <v>287</v>
      </c>
      <c r="CD235" s="50" t="s">
        <v>287</v>
      </c>
      <c r="CE235" s="50"/>
      <c r="CF235" s="50" t="s">
        <v>287</v>
      </c>
      <c r="CG235" s="50" t="s">
        <v>287</v>
      </c>
      <c r="CH235" s="50" t="s">
        <v>486</v>
      </c>
      <c r="CI235" s="50" t="s">
        <v>287</v>
      </c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</row>
    <row r="236" spans="1:97" ht="36.75" customHeight="1" thickBot="1">
      <c r="A236" s="49">
        <v>46090.393194444441</v>
      </c>
      <c r="B236" s="50" t="s">
        <v>40</v>
      </c>
      <c r="C236" s="50" t="s">
        <v>45</v>
      </c>
      <c r="D236" s="50" t="s">
        <v>374</v>
      </c>
      <c r="E236" s="50" t="s">
        <v>61</v>
      </c>
      <c r="F236" s="50" t="s">
        <v>286</v>
      </c>
      <c r="G236" s="50" t="s">
        <v>73</v>
      </c>
      <c r="H236" s="50" t="s">
        <v>362</v>
      </c>
      <c r="I236" s="50" t="s">
        <v>81</v>
      </c>
      <c r="J236" s="50" t="s">
        <v>286</v>
      </c>
      <c r="K236" s="50" t="s">
        <v>287</v>
      </c>
      <c r="L236" s="50" t="s">
        <v>336</v>
      </c>
      <c r="M236" s="50" t="s">
        <v>7</v>
      </c>
      <c r="N236" s="111">
        <v>5</v>
      </c>
      <c r="O236" s="111">
        <v>5</v>
      </c>
      <c r="P236" s="111">
        <v>5</v>
      </c>
      <c r="Q236" s="111">
        <v>5</v>
      </c>
      <c r="R236" s="111">
        <v>5</v>
      </c>
      <c r="S236" s="111">
        <v>5</v>
      </c>
      <c r="T236" s="111">
        <v>5</v>
      </c>
      <c r="U236" s="111">
        <v>5</v>
      </c>
      <c r="V236" s="111">
        <v>5</v>
      </c>
      <c r="W236" s="111">
        <v>5</v>
      </c>
      <c r="X236" s="111">
        <v>5</v>
      </c>
      <c r="Y236" s="111">
        <v>5</v>
      </c>
      <c r="Z236" s="111">
        <v>5</v>
      </c>
      <c r="AA236" s="111">
        <v>5</v>
      </c>
      <c r="AB236" s="111">
        <v>5</v>
      </c>
      <c r="AC236" s="111">
        <v>5</v>
      </c>
      <c r="AD236" s="111">
        <v>5</v>
      </c>
      <c r="AE236" s="111">
        <v>5</v>
      </c>
      <c r="AF236" s="111">
        <v>5</v>
      </c>
      <c r="AG236" s="111">
        <v>5</v>
      </c>
      <c r="AH236" s="111">
        <v>5</v>
      </c>
      <c r="AI236" s="111">
        <v>5</v>
      </c>
      <c r="AJ236" s="111">
        <v>5</v>
      </c>
      <c r="AK236" s="111">
        <v>5</v>
      </c>
      <c r="AL236" s="111">
        <v>5</v>
      </c>
      <c r="AM236" s="111">
        <v>5</v>
      </c>
      <c r="AN236" s="111">
        <v>5</v>
      </c>
      <c r="AO236" s="111">
        <v>5</v>
      </c>
      <c r="AP236" s="111">
        <v>5</v>
      </c>
      <c r="AQ236" s="111">
        <v>5</v>
      </c>
      <c r="AR236" s="111">
        <v>5</v>
      </c>
      <c r="AS236" s="111">
        <v>5</v>
      </c>
      <c r="AT236" s="111">
        <v>5</v>
      </c>
      <c r="AU236" s="111">
        <v>5</v>
      </c>
      <c r="AV236" s="50" t="s">
        <v>199</v>
      </c>
      <c r="AW236" s="50" t="s">
        <v>199</v>
      </c>
      <c r="AX236" s="50" t="s">
        <v>199</v>
      </c>
      <c r="AY236" s="50" t="s">
        <v>200</v>
      </c>
      <c r="AZ236" s="50" t="s">
        <v>200</v>
      </c>
      <c r="BA236" s="50" t="s">
        <v>200</v>
      </c>
      <c r="BB236" s="50" t="s">
        <v>200</v>
      </c>
      <c r="BC236" s="50" t="s">
        <v>200</v>
      </c>
      <c r="BD236" s="50" t="s">
        <v>200</v>
      </c>
      <c r="BE236" s="50" t="s">
        <v>200</v>
      </c>
      <c r="BF236" s="50" t="s">
        <v>200</v>
      </c>
      <c r="BG236" s="50" t="s">
        <v>200</v>
      </c>
      <c r="BH236" s="50" t="s">
        <v>200</v>
      </c>
      <c r="BI236" s="50" t="s">
        <v>200</v>
      </c>
      <c r="BJ236" s="50" t="s">
        <v>200</v>
      </c>
      <c r="BK236" s="50" t="s">
        <v>200</v>
      </c>
      <c r="BL236" s="50" t="s">
        <v>200</v>
      </c>
      <c r="BM236" s="50" t="s">
        <v>436</v>
      </c>
      <c r="BN236" s="50" t="s">
        <v>318</v>
      </c>
      <c r="BO236" s="50" t="s">
        <v>91</v>
      </c>
      <c r="BP236" s="50" t="s">
        <v>286</v>
      </c>
      <c r="BQ236" s="50" t="s">
        <v>287</v>
      </c>
      <c r="BR236" s="50" t="s">
        <v>373</v>
      </c>
      <c r="BS236" s="111">
        <v>4</v>
      </c>
      <c r="BT236" s="50" t="s">
        <v>286</v>
      </c>
      <c r="BU236" s="50" t="s">
        <v>312</v>
      </c>
      <c r="BV236" s="50" t="s">
        <v>288</v>
      </c>
      <c r="BW236" s="50" t="s">
        <v>303</v>
      </c>
      <c r="BX236" s="50" t="s">
        <v>290</v>
      </c>
      <c r="BY236" s="50" t="s">
        <v>288</v>
      </c>
      <c r="BZ236" s="50" t="s">
        <v>287</v>
      </c>
      <c r="CA236" s="50"/>
      <c r="CB236" s="50" t="s">
        <v>287</v>
      </c>
      <c r="CC236" s="50" t="s">
        <v>287</v>
      </c>
      <c r="CD236" s="50" t="s">
        <v>287</v>
      </c>
      <c r="CE236" s="50"/>
      <c r="CF236" s="50" t="s">
        <v>287</v>
      </c>
      <c r="CG236" s="50" t="s">
        <v>287</v>
      </c>
      <c r="CH236" s="50" t="s">
        <v>486</v>
      </c>
      <c r="CI236" s="50" t="s">
        <v>287</v>
      </c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</row>
    <row r="237" spans="1:97" ht="36.75" customHeight="1" thickBot="1">
      <c r="A237" s="49">
        <v>46090.395266203705</v>
      </c>
      <c r="B237" s="50" t="s">
        <v>40</v>
      </c>
      <c r="C237" s="50" t="s">
        <v>45</v>
      </c>
      <c r="D237" s="50" t="s">
        <v>369</v>
      </c>
      <c r="E237" s="50" t="s">
        <v>61</v>
      </c>
      <c r="F237" s="50" t="s">
        <v>286</v>
      </c>
      <c r="G237" s="50" t="s">
        <v>73</v>
      </c>
      <c r="H237" s="50" t="s">
        <v>536</v>
      </c>
      <c r="I237" s="50" t="s">
        <v>81</v>
      </c>
      <c r="J237" s="50" t="s">
        <v>286</v>
      </c>
      <c r="K237" s="50" t="s">
        <v>287</v>
      </c>
      <c r="L237" s="50" t="s">
        <v>336</v>
      </c>
      <c r="M237" s="50" t="s">
        <v>7</v>
      </c>
      <c r="N237" s="111">
        <v>5</v>
      </c>
      <c r="O237" s="111">
        <v>5</v>
      </c>
      <c r="P237" s="111">
        <v>5</v>
      </c>
      <c r="Q237" s="111">
        <v>5</v>
      </c>
      <c r="R237" s="111">
        <v>5</v>
      </c>
      <c r="S237" s="111">
        <v>5</v>
      </c>
      <c r="T237" s="111">
        <v>5</v>
      </c>
      <c r="U237" s="111">
        <v>5</v>
      </c>
      <c r="V237" s="111">
        <v>5</v>
      </c>
      <c r="W237" s="111">
        <v>5</v>
      </c>
      <c r="X237" s="111">
        <v>5</v>
      </c>
      <c r="Y237" s="111">
        <v>5</v>
      </c>
      <c r="Z237" s="111">
        <v>5</v>
      </c>
      <c r="AA237" s="111">
        <v>5</v>
      </c>
      <c r="AB237" s="111">
        <v>5</v>
      </c>
      <c r="AC237" s="111">
        <v>5</v>
      </c>
      <c r="AD237" s="111">
        <v>5</v>
      </c>
      <c r="AE237" s="111">
        <v>5</v>
      </c>
      <c r="AF237" s="111">
        <v>5</v>
      </c>
      <c r="AG237" s="111">
        <v>5</v>
      </c>
      <c r="AH237" s="111">
        <v>5</v>
      </c>
      <c r="AI237" s="111">
        <v>5</v>
      </c>
      <c r="AJ237" s="111">
        <v>5</v>
      </c>
      <c r="AK237" s="111">
        <v>5</v>
      </c>
      <c r="AL237" s="111">
        <v>5</v>
      </c>
      <c r="AM237" s="111">
        <v>5</v>
      </c>
      <c r="AN237" s="111">
        <v>5</v>
      </c>
      <c r="AO237" s="111">
        <v>5</v>
      </c>
      <c r="AP237" s="111">
        <v>5</v>
      </c>
      <c r="AQ237" s="111">
        <v>5</v>
      </c>
      <c r="AR237" s="111">
        <v>5</v>
      </c>
      <c r="AS237" s="111">
        <v>5</v>
      </c>
      <c r="AT237" s="111">
        <v>5</v>
      </c>
      <c r="AU237" s="111">
        <v>5</v>
      </c>
      <c r="AV237" s="50" t="s">
        <v>199</v>
      </c>
      <c r="AW237" s="50" t="s">
        <v>199</v>
      </c>
      <c r="AX237" s="50" t="s">
        <v>199</v>
      </c>
      <c r="AY237" s="50" t="s">
        <v>200</v>
      </c>
      <c r="AZ237" s="50" t="s">
        <v>200</v>
      </c>
      <c r="BA237" s="50" t="s">
        <v>200</v>
      </c>
      <c r="BB237" s="50" t="s">
        <v>200</v>
      </c>
      <c r="BC237" s="50" t="s">
        <v>200</v>
      </c>
      <c r="BD237" s="50" t="s">
        <v>200</v>
      </c>
      <c r="BE237" s="50" t="s">
        <v>200</v>
      </c>
      <c r="BF237" s="50" t="s">
        <v>200</v>
      </c>
      <c r="BG237" s="50" t="s">
        <v>200</v>
      </c>
      <c r="BH237" s="50" t="s">
        <v>200</v>
      </c>
      <c r="BI237" s="50" t="s">
        <v>200</v>
      </c>
      <c r="BJ237" s="50" t="s">
        <v>200</v>
      </c>
      <c r="BK237" s="50" t="s">
        <v>200</v>
      </c>
      <c r="BL237" s="50" t="s">
        <v>200</v>
      </c>
      <c r="BM237" s="50" t="s">
        <v>436</v>
      </c>
      <c r="BN237" s="50" t="s">
        <v>318</v>
      </c>
      <c r="BO237" s="50" t="s">
        <v>91</v>
      </c>
      <c r="BP237" s="50" t="s">
        <v>286</v>
      </c>
      <c r="BQ237" s="50" t="s">
        <v>287</v>
      </c>
      <c r="BR237" s="50" t="s">
        <v>412</v>
      </c>
      <c r="BS237" s="111">
        <v>4</v>
      </c>
      <c r="BT237" s="50" t="s">
        <v>286</v>
      </c>
      <c r="BU237" s="50" t="s">
        <v>312</v>
      </c>
      <c r="BV237" s="50" t="s">
        <v>288</v>
      </c>
      <c r="BW237" s="50" t="s">
        <v>304</v>
      </c>
      <c r="BX237" s="50" t="s">
        <v>300</v>
      </c>
      <c r="BY237" s="50" t="s">
        <v>288</v>
      </c>
      <c r="BZ237" s="50" t="s">
        <v>287</v>
      </c>
      <c r="CA237" s="50"/>
      <c r="CB237" s="50" t="s">
        <v>287</v>
      </c>
      <c r="CC237" s="50" t="s">
        <v>287</v>
      </c>
      <c r="CD237" s="50" t="s">
        <v>287</v>
      </c>
      <c r="CE237" s="50"/>
      <c r="CF237" s="50" t="s">
        <v>287</v>
      </c>
      <c r="CG237" s="50" t="s">
        <v>287</v>
      </c>
      <c r="CH237" s="50" t="s">
        <v>409</v>
      </c>
      <c r="CI237" s="50" t="s">
        <v>287</v>
      </c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</row>
    <row r="238" spans="1:97" ht="36.75" customHeight="1" thickBot="1">
      <c r="A238" s="49">
        <v>46090.418912037036</v>
      </c>
      <c r="B238" s="50" t="s">
        <v>40</v>
      </c>
      <c r="C238" s="50" t="s">
        <v>45</v>
      </c>
      <c r="D238" s="50" t="s">
        <v>374</v>
      </c>
      <c r="E238" s="50" t="s">
        <v>61</v>
      </c>
      <c r="F238" s="50" t="s">
        <v>286</v>
      </c>
      <c r="G238" s="50" t="s">
        <v>292</v>
      </c>
      <c r="H238" s="50" t="s">
        <v>324</v>
      </c>
      <c r="I238" s="50" t="s">
        <v>81</v>
      </c>
      <c r="J238" s="50" t="s">
        <v>286</v>
      </c>
      <c r="K238" s="50" t="s">
        <v>287</v>
      </c>
      <c r="L238" s="50" t="s">
        <v>336</v>
      </c>
      <c r="M238" s="50" t="s">
        <v>7</v>
      </c>
      <c r="N238" s="111">
        <v>5</v>
      </c>
      <c r="O238" s="111">
        <v>5</v>
      </c>
      <c r="P238" s="111">
        <v>5</v>
      </c>
      <c r="Q238" s="111">
        <v>5</v>
      </c>
      <c r="R238" s="111">
        <v>5</v>
      </c>
      <c r="S238" s="111">
        <v>5</v>
      </c>
      <c r="T238" s="111">
        <v>5</v>
      </c>
      <c r="U238" s="111">
        <v>5</v>
      </c>
      <c r="V238" s="111">
        <v>5</v>
      </c>
      <c r="W238" s="111">
        <v>5</v>
      </c>
      <c r="X238" s="111">
        <v>5</v>
      </c>
      <c r="Y238" s="111">
        <v>5</v>
      </c>
      <c r="Z238" s="111">
        <v>5</v>
      </c>
      <c r="AA238" s="111">
        <v>5</v>
      </c>
      <c r="AB238" s="111">
        <v>5</v>
      </c>
      <c r="AC238" s="111">
        <v>5</v>
      </c>
      <c r="AD238" s="111">
        <v>5</v>
      </c>
      <c r="AE238" s="111">
        <v>5</v>
      </c>
      <c r="AF238" s="111">
        <v>5</v>
      </c>
      <c r="AG238" s="111">
        <v>5</v>
      </c>
      <c r="AH238" s="111">
        <v>5</v>
      </c>
      <c r="AI238" s="111">
        <v>5</v>
      </c>
      <c r="AJ238" s="111">
        <v>5</v>
      </c>
      <c r="AK238" s="111">
        <v>5</v>
      </c>
      <c r="AL238" s="111">
        <v>5</v>
      </c>
      <c r="AM238" s="111">
        <v>5</v>
      </c>
      <c r="AN238" s="111">
        <v>5</v>
      </c>
      <c r="AO238" s="111">
        <v>5</v>
      </c>
      <c r="AP238" s="111">
        <v>5</v>
      </c>
      <c r="AQ238" s="111">
        <v>5</v>
      </c>
      <c r="AR238" s="111">
        <v>5</v>
      </c>
      <c r="AS238" s="111">
        <v>5</v>
      </c>
      <c r="AT238" s="111">
        <v>5</v>
      </c>
      <c r="AU238" s="111">
        <v>5</v>
      </c>
      <c r="AV238" s="50" t="s">
        <v>199</v>
      </c>
      <c r="AW238" s="50" t="s">
        <v>199</v>
      </c>
      <c r="AX238" s="50" t="s">
        <v>199</v>
      </c>
      <c r="AY238" s="50" t="s">
        <v>200</v>
      </c>
      <c r="AZ238" s="50" t="s">
        <v>200</v>
      </c>
      <c r="BA238" s="50" t="s">
        <v>200</v>
      </c>
      <c r="BB238" s="50" t="s">
        <v>200</v>
      </c>
      <c r="BC238" s="50" t="s">
        <v>200</v>
      </c>
      <c r="BD238" s="50" t="s">
        <v>200</v>
      </c>
      <c r="BE238" s="50" t="s">
        <v>200</v>
      </c>
      <c r="BF238" s="50" t="s">
        <v>200</v>
      </c>
      <c r="BG238" s="50" t="s">
        <v>200</v>
      </c>
      <c r="BH238" s="50" t="s">
        <v>200</v>
      </c>
      <c r="BI238" s="50" t="s">
        <v>200</v>
      </c>
      <c r="BJ238" s="50" t="s">
        <v>200</v>
      </c>
      <c r="BK238" s="50" t="s">
        <v>200</v>
      </c>
      <c r="BL238" s="50" t="s">
        <v>200</v>
      </c>
      <c r="BM238" s="50" t="s">
        <v>436</v>
      </c>
      <c r="BN238" s="50" t="s">
        <v>318</v>
      </c>
      <c r="BO238" s="50" t="s">
        <v>91</v>
      </c>
      <c r="BP238" s="50" t="s">
        <v>286</v>
      </c>
      <c r="BQ238" s="50" t="s">
        <v>287</v>
      </c>
      <c r="BR238" s="50" t="s">
        <v>403</v>
      </c>
      <c r="BS238" s="111">
        <v>4</v>
      </c>
      <c r="BT238" s="50" t="s">
        <v>286</v>
      </c>
      <c r="BU238" s="50" t="s">
        <v>312</v>
      </c>
      <c r="BV238" s="50" t="s">
        <v>288</v>
      </c>
      <c r="BW238" s="50" t="s">
        <v>289</v>
      </c>
      <c r="BX238" s="50" t="s">
        <v>300</v>
      </c>
      <c r="BY238" s="50" t="s">
        <v>288</v>
      </c>
      <c r="BZ238" s="50" t="s">
        <v>287</v>
      </c>
      <c r="CA238" s="50"/>
      <c r="CB238" s="50" t="s">
        <v>287</v>
      </c>
      <c r="CC238" s="50" t="s">
        <v>287</v>
      </c>
      <c r="CD238" s="50" t="s">
        <v>287</v>
      </c>
      <c r="CE238" s="50"/>
      <c r="CF238" s="50" t="s">
        <v>287</v>
      </c>
      <c r="CG238" s="50" t="s">
        <v>287</v>
      </c>
      <c r="CH238" s="50" t="s">
        <v>486</v>
      </c>
      <c r="CI238" s="50" t="s">
        <v>287</v>
      </c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</row>
    <row r="239" spans="1:97" ht="36.75" customHeight="1" thickBot="1">
      <c r="A239" s="49">
        <v>46090.420995370368</v>
      </c>
      <c r="B239" s="50" t="s">
        <v>40</v>
      </c>
      <c r="C239" s="50" t="s">
        <v>45</v>
      </c>
      <c r="D239" s="50" t="s">
        <v>374</v>
      </c>
      <c r="E239" s="50" t="s">
        <v>60</v>
      </c>
      <c r="F239" s="50" t="s">
        <v>286</v>
      </c>
      <c r="G239" s="50" t="s">
        <v>73</v>
      </c>
      <c r="H239" s="50" t="s">
        <v>515</v>
      </c>
      <c r="I239" s="50" t="s">
        <v>81</v>
      </c>
      <c r="J239" s="50" t="s">
        <v>286</v>
      </c>
      <c r="K239" s="50" t="s">
        <v>287</v>
      </c>
      <c r="L239" s="50" t="s">
        <v>336</v>
      </c>
      <c r="M239" s="50" t="s">
        <v>7</v>
      </c>
      <c r="N239" s="111">
        <v>5</v>
      </c>
      <c r="O239" s="111">
        <v>5</v>
      </c>
      <c r="P239" s="111">
        <v>5</v>
      </c>
      <c r="Q239" s="111">
        <v>5</v>
      </c>
      <c r="R239" s="111">
        <v>5</v>
      </c>
      <c r="S239" s="111">
        <v>5</v>
      </c>
      <c r="T239" s="111">
        <v>5</v>
      </c>
      <c r="U239" s="111">
        <v>5</v>
      </c>
      <c r="V239" s="111">
        <v>5</v>
      </c>
      <c r="W239" s="111">
        <v>5</v>
      </c>
      <c r="X239" s="111">
        <v>5</v>
      </c>
      <c r="Y239" s="111">
        <v>5</v>
      </c>
      <c r="Z239" s="111">
        <v>5</v>
      </c>
      <c r="AA239" s="111">
        <v>5</v>
      </c>
      <c r="AB239" s="111">
        <v>5</v>
      </c>
      <c r="AC239" s="111">
        <v>5</v>
      </c>
      <c r="AD239" s="111">
        <v>5</v>
      </c>
      <c r="AE239" s="111">
        <v>5</v>
      </c>
      <c r="AF239" s="111">
        <v>5</v>
      </c>
      <c r="AG239" s="111">
        <v>5</v>
      </c>
      <c r="AH239" s="111">
        <v>5</v>
      </c>
      <c r="AI239" s="111">
        <v>5</v>
      </c>
      <c r="AJ239" s="111">
        <v>5</v>
      </c>
      <c r="AK239" s="111">
        <v>5</v>
      </c>
      <c r="AL239" s="111">
        <v>5</v>
      </c>
      <c r="AM239" s="111">
        <v>5</v>
      </c>
      <c r="AN239" s="111">
        <v>5</v>
      </c>
      <c r="AO239" s="111">
        <v>5</v>
      </c>
      <c r="AP239" s="111">
        <v>5</v>
      </c>
      <c r="AQ239" s="111">
        <v>5</v>
      </c>
      <c r="AR239" s="111">
        <v>5</v>
      </c>
      <c r="AS239" s="111">
        <v>5</v>
      </c>
      <c r="AT239" s="111">
        <v>5</v>
      </c>
      <c r="AU239" s="111">
        <v>5</v>
      </c>
      <c r="AV239" s="50" t="s">
        <v>199</v>
      </c>
      <c r="AW239" s="50" t="s">
        <v>199</v>
      </c>
      <c r="AX239" s="50" t="s">
        <v>199</v>
      </c>
      <c r="AY239" s="50" t="s">
        <v>200</v>
      </c>
      <c r="AZ239" s="50" t="s">
        <v>200</v>
      </c>
      <c r="BA239" s="50" t="s">
        <v>200</v>
      </c>
      <c r="BB239" s="50" t="s">
        <v>200</v>
      </c>
      <c r="BC239" s="50" t="s">
        <v>200</v>
      </c>
      <c r="BD239" s="50" t="s">
        <v>200</v>
      </c>
      <c r="BE239" s="50" t="s">
        <v>200</v>
      </c>
      <c r="BF239" s="50" t="s">
        <v>200</v>
      </c>
      <c r="BG239" s="50" t="s">
        <v>200</v>
      </c>
      <c r="BH239" s="50" t="s">
        <v>200</v>
      </c>
      <c r="BI239" s="50" t="s">
        <v>200</v>
      </c>
      <c r="BJ239" s="50" t="s">
        <v>200</v>
      </c>
      <c r="BK239" s="50" t="s">
        <v>200</v>
      </c>
      <c r="BL239" s="50" t="s">
        <v>200</v>
      </c>
      <c r="BM239" s="50" t="s">
        <v>436</v>
      </c>
      <c r="BN239" s="50" t="s">
        <v>318</v>
      </c>
      <c r="BO239" s="50" t="s">
        <v>91</v>
      </c>
      <c r="BP239" s="50" t="s">
        <v>286</v>
      </c>
      <c r="BQ239" s="50" t="s">
        <v>287</v>
      </c>
      <c r="BR239" s="50" t="s">
        <v>373</v>
      </c>
      <c r="BS239" s="111">
        <v>4</v>
      </c>
      <c r="BT239" s="50" t="s">
        <v>286</v>
      </c>
      <c r="BU239" s="50" t="s">
        <v>312</v>
      </c>
      <c r="BV239" s="50" t="s">
        <v>288</v>
      </c>
      <c r="BW239" s="50" t="s">
        <v>289</v>
      </c>
      <c r="BX239" s="50" t="s">
        <v>290</v>
      </c>
      <c r="BY239" s="50" t="s">
        <v>288</v>
      </c>
      <c r="BZ239" s="50" t="s">
        <v>287</v>
      </c>
      <c r="CA239" s="50"/>
      <c r="CB239" s="50" t="s">
        <v>287</v>
      </c>
      <c r="CC239" s="50" t="s">
        <v>287</v>
      </c>
      <c r="CD239" s="50" t="s">
        <v>287</v>
      </c>
      <c r="CE239" s="50"/>
      <c r="CF239" s="50" t="s">
        <v>287</v>
      </c>
      <c r="CG239" s="50" t="s">
        <v>287</v>
      </c>
      <c r="CH239" s="50" t="s">
        <v>557</v>
      </c>
      <c r="CI239" s="50" t="s">
        <v>287</v>
      </c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</row>
    <row r="240" spans="1:97" ht="36.75" customHeight="1" thickBot="1">
      <c r="A240" s="49">
        <v>46090.422685185185</v>
      </c>
      <c r="B240" s="50" t="s">
        <v>40</v>
      </c>
      <c r="C240" s="50" t="s">
        <v>45</v>
      </c>
      <c r="D240" s="50" t="s">
        <v>369</v>
      </c>
      <c r="E240" s="50" t="s">
        <v>285</v>
      </c>
      <c r="F240" s="50" t="s">
        <v>286</v>
      </c>
      <c r="G240" s="50" t="s">
        <v>292</v>
      </c>
      <c r="H240" s="50" t="s">
        <v>330</v>
      </c>
      <c r="I240" s="50" t="s">
        <v>81</v>
      </c>
      <c r="J240" s="50" t="s">
        <v>286</v>
      </c>
      <c r="K240" s="50" t="s">
        <v>287</v>
      </c>
      <c r="L240" s="50" t="s">
        <v>336</v>
      </c>
      <c r="M240" s="50" t="s">
        <v>7</v>
      </c>
      <c r="N240" s="111">
        <v>5</v>
      </c>
      <c r="O240" s="111">
        <v>5</v>
      </c>
      <c r="P240" s="111">
        <v>5</v>
      </c>
      <c r="Q240" s="111">
        <v>5</v>
      </c>
      <c r="R240" s="111">
        <v>5</v>
      </c>
      <c r="S240" s="111">
        <v>5</v>
      </c>
      <c r="T240" s="111">
        <v>5</v>
      </c>
      <c r="U240" s="111">
        <v>5</v>
      </c>
      <c r="V240" s="111">
        <v>5</v>
      </c>
      <c r="W240" s="111">
        <v>5</v>
      </c>
      <c r="X240" s="111">
        <v>5</v>
      </c>
      <c r="Y240" s="111">
        <v>5</v>
      </c>
      <c r="Z240" s="111">
        <v>5</v>
      </c>
      <c r="AA240" s="111">
        <v>5</v>
      </c>
      <c r="AB240" s="111">
        <v>5</v>
      </c>
      <c r="AC240" s="111">
        <v>5</v>
      </c>
      <c r="AD240" s="111">
        <v>5</v>
      </c>
      <c r="AE240" s="111">
        <v>5</v>
      </c>
      <c r="AF240" s="111">
        <v>5</v>
      </c>
      <c r="AG240" s="111">
        <v>5</v>
      </c>
      <c r="AH240" s="111">
        <v>5</v>
      </c>
      <c r="AI240" s="111">
        <v>5</v>
      </c>
      <c r="AJ240" s="111">
        <v>5</v>
      </c>
      <c r="AK240" s="111">
        <v>5</v>
      </c>
      <c r="AL240" s="111">
        <v>5</v>
      </c>
      <c r="AM240" s="111">
        <v>5</v>
      </c>
      <c r="AN240" s="111">
        <v>5</v>
      </c>
      <c r="AO240" s="111">
        <v>5</v>
      </c>
      <c r="AP240" s="111">
        <v>5</v>
      </c>
      <c r="AQ240" s="111">
        <v>5</v>
      </c>
      <c r="AR240" s="111">
        <v>5</v>
      </c>
      <c r="AS240" s="111">
        <v>5</v>
      </c>
      <c r="AT240" s="111">
        <v>5</v>
      </c>
      <c r="AU240" s="111">
        <v>5</v>
      </c>
      <c r="AV240" s="50" t="s">
        <v>199</v>
      </c>
      <c r="AW240" s="50" t="s">
        <v>199</v>
      </c>
      <c r="AX240" s="50" t="s">
        <v>199</v>
      </c>
      <c r="AY240" s="50" t="s">
        <v>200</v>
      </c>
      <c r="AZ240" s="50" t="s">
        <v>200</v>
      </c>
      <c r="BA240" s="50" t="s">
        <v>200</v>
      </c>
      <c r="BB240" s="50" t="s">
        <v>200</v>
      </c>
      <c r="BC240" s="50" t="s">
        <v>200</v>
      </c>
      <c r="BD240" s="50" t="s">
        <v>200</v>
      </c>
      <c r="BE240" s="50" t="s">
        <v>200</v>
      </c>
      <c r="BF240" s="50" t="s">
        <v>200</v>
      </c>
      <c r="BG240" s="50" t="s">
        <v>200</v>
      </c>
      <c r="BH240" s="50" t="s">
        <v>200</v>
      </c>
      <c r="BI240" s="50" t="s">
        <v>200</v>
      </c>
      <c r="BJ240" s="50" t="s">
        <v>200</v>
      </c>
      <c r="BK240" s="50" t="s">
        <v>200</v>
      </c>
      <c r="BL240" s="50" t="s">
        <v>200</v>
      </c>
      <c r="BM240" s="50" t="s">
        <v>436</v>
      </c>
      <c r="BN240" s="50" t="s">
        <v>318</v>
      </c>
      <c r="BO240" s="50" t="s">
        <v>91</v>
      </c>
      <c r="BP240" s="50" t="s">
        <v>286</v>
      </c>
      <c r="BQ240" s="50" t="s">
        <v>287</v>
      </c>
      <c r="BR240" s="50" t="s">
        <v>382</v>
      </c>
      <c r="BS240" s="111">
        <v>4</v>
      </c>
      <c r="BT240" s="50" t="s">
        <v>286</v>
      </c>
      <c r="BU240" s="50" t="s">
        <v>312</v>
      </c>
      <c r="BV240" s="50" t="s">
        <v>288</v>
      </c>
      <c r="BW240" s="50" t="s">
        <v>289</v>
      </c>
      <c r="BX240" s="50" t="s">
        <v>300</v>
      </c>
      <c r="BY240" s="50" t="s">
        <v>288</v>
      </c>
      <c r="BZ240" s="50" t="s">
        <v>287</v>
      </c>
      <c r="CA240" s="50"/>
      <c r="CB240" s="50" t="s">
        <v>287</v>
      </c>
      <c r="CC240" s="50" t="s">
        <v>287</v>
      </c>
      <c r="CD240" s="50" t="s">
        <v>287</v>
      </c>
      <c r="CE240" s="50"/>
      <c r="CF240" s="50" t="s">
        <v>287</v>
      </c>
      <c r="CG240" s="50" t="s">
        <v>287</v>
      </c>
      <c r="CH240" s="50" t="s">
        <v>486</v>
      </c>
      <c r="CI240" s="50" t="s">
        <v>287</v>
      </c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</row>
    <row r="241" spans="1:97" ht="36.75" customHeight="1" thickBot="1">
      <c r="A241" s="49">
        <v>46090.425902777781</v>
      </c>
      <c r="B241" s="50" t="s">
        <v>40</v>
      </c>
      <c r="C241" s="50" t="s">
        <v>46</v>
      </c>
      <c r="D241" s="50" t="s">
        <v>374</v>
      </c>
      <c r="E241" s="50" t="s">
        <v>62</v>
      </c>
      <c r="F241" s="50" t="s">
        <v>286</v>
      </c>
      <c r="G241" s="50" t="s">
        <v>73</v>
      </c>
      <c r="H241" s="50" t="s">
        <v>359</v>
      </c>
      <c r="I241" s="50" t="s">
        <v>81</v>
      </c>
      <c r="J241" s="50" t="s">
        <v>286</v>
      </c>
      <c r="K241" s="50" t="s">
        <v>287</v>
      </c>
      <c r="L241" s="50" t="s">
        <v>336</v>
      </c>
      <c r="M241" s="50" t="s">
        <v>7</v>
      </c>
      <c r="N241" s="111">
        <v>5</v>
      </c>
      <c r="O241" s="111">
        <v>5</v>
      </c>
      <c r="P241" s="111">
        <v>5</v>
      </c>
      <c r="Q241" s="111">
        <v>5</v>
      </c>
      <c r="R241" s="111">
        <v>5</v>
      </c>
      <c r="S241" s="111">
        <v>5</v>
      </c>
      <c r="T241" s="111">
        <v>5</v>
      </c>
      <c r="U241" s="111">
        <v>5</v>
      </c>
      <c r="V241" s="111">
        <v>5</v>
      </c>
      <c r="W241" s="111">
        <v>5</v>
      </c>
      <c r="X241" s="111">
        <v>5</v>
      </c>
      <c r="Y241" s="111">
        <v>5</v>
      </c>
      <c r="Z241" s="111">
        <v>5</v>
      </c>
      <c r="AA241" s="111">
        <v>5</v>
      </c>
      <c r="AB241" s="111">
        <v>5</v>
      </c>
      <c r="AC241" s="111">
        <v>5</v>
      </c>
      <c r="AD241" s="111">
        <v>5</v>
      </c>
      <c r="AE241" s="111">
        <v>5</v>
      </c>
      <c r="AF241" s="111">
        <v>5</v>
      </c>
      <c r="AG241" s="111">
        <v>5</v>
      </c>
      <c r="AH241" s="111">
        <v>5</v>
      </c>
      <c r="AI241" s="111">
        <v>5</v>
      </c>
      <c r="AJ241" s="111">
        <v>5</v>
      </c>
      <c r="AK241" s="111">
        <v>5</v>
      </c>
      <c r="AL241" s="111">
        <v>5</v>
      </c>
      <c r="AM241" s="111">
        <v>5</v>
      </c>
      <c r="AN241" s="111">
        <v>5</v>
      </c>
      <c r="AO241" s="111">
        <v>5</v>
      </c>
      <c r="AP241" s="111">
        <v>5</v>
      </c>
      <c r="AQ241" s="111">
        <v>5</v>
      </c>
      <c r="AR241" s="111">
        <v>5</v>
      </c>
      <c r="AS241" s="111">
        <v>5</v>
      </c>
      <c r="AT241" s="111">
        <v>5</v>
      </c>
      <c r="AU241" s="111">
        <v>5</v>
      </c>
      <c r="AV241" s="50" t="s">
        <v>199</v>
      </c>
      <c r="AW241" s="50" t="s">
        <v>199</v>
      </c>
      <c r="AX241" s="50" t="s">
        <v>199</v>
      </c>
      <c r="AY241" s="50" t="s">
        <v>200</v>
      </c>
      <c r="AZ241" s="50" t="s">
        <v>200</v>
      </c>
      <c r="BA241" s="50" t="s">
        <v>200</v>
      </c>
      <c r="BB241" s="50" t="s">
        <v>200</v>
      </c>
      <c r="BC241" s="50" t="s">
        <v>200</v>
      </c>
      <c r="BD241" s="50" t="s">
        <v>200</v>
      </c>
      <c r="BE241" s="50" t="s">
        <v>200</v>
      </c>
      <c r="BF241" s="50" t="s">
        <v>200</v>
      </c>
      <c r="BG241" s="50" t="s">
        <v>200</v>
      </c>
      <c r="BH241" s="50" t="s">
        <v>200</v>
      </c>
      <c r="BI241" s="50" t="s">
        <v>200</v>
      </c>
      <c r="BJ241" s="50" t="s">
        <v>200</v>
      </c>
      <c r="BK241" s="50" t="s">
        <v>200</v>
      </c>
      <c r="BL241" s="50" t="s">
        <v>200</v>
      </c>
      <c r="BM241" s="50" t="s">
        <v>436</v>
      </c>
      <c r="BN241" s="50" t="s">
        <v>318</v>
      </c>
      <c r="BO241" s="50" t="s">
        <v>91</v>
      </c>
      <c r="BP241" s="50" t="s">
        <v>286</v>
      </c>
      <c r="BQ241" s="50" t="s">
        <v>287</v>
      </c>
      <c r="BR241" s="50" t="s">
        <v>403</v>
      </c>
      <c r="BS241" s="111">
        <v>4</v>
      </c>
      <c r="BT241" s="50" t="s">
        <v>286</v>
      </c>
      <c r="BU241" s="50" t="s">
        <v>312</v>
      </c>
      <c r="BV241" s="50" t="s">
        <v>288</v>
      </c>
      <c r="BW241" s="50" t="s">
        <v>297</v>
      </c>
      <c r="BX241" s="50" t="s">
        <v>296</v>
      </c>
      <c r="BY241" s="50" t="s">
        <v>288</v>
      </c>
      <c r="BZ241" s="50" t="s">
        <v>287</v>
      </c>
      <c r="CA241" s="50"/>
      <c r="CB241" s="50" t="s">
        <v>287</v>
      </c>
      <c r="CC241" s="50" t="s">
        <v>287</v>
      </c>
      <c r="CD241" s="50" t="s">
        <v>287</v>
      </c>
      <c r="CE241" s="50"/>
      <c r="CF241" s="50" t="s">
        <v>287</v>
      </c>
      <c r="CG241" s="50" t="s">
        <v>287</v>
      </c>
      <c r="CH241" s="50" t="s">
        <v>486</v>
      </c>
      <c r="CI241" s="50" t="s">
        <v>287</v>
      </c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</row>
    <row r="242" spans="1:97" ht="36.75" customHeight="1" thickBot="1">
      <c r="A242" s="49">
        <v>46090.429050925923</v>
      </c>
      <c r="B242" s="50" t="s">
        <v>40</v>
      </c>
      <c r="C242" s="50" t="s">
        <v>45</v>
      </c>
      <c r="D242" s="50" t="s">
        <v>374</v>
      </c>
      <c r="E242" s="50" t="s">
        <v>63</v>
      </c>
      <c r="F242" s="50" t="s">
        <v>286</v>
      </c>
      <c r="G242" s="50" t="s">
        <v>73</v>
      </c>
      <c r="H242" s="50" t="s">
        <v>522</v>
      </c>
      <c r="I242" s="50" t="s">
        <v>81</v>
      </c>
      <c r="J242" s="50" t="s">
        <v>286</v>
      </c>
      <c r="K242" s="50" t="s">
        <v>287</v>
      </c>
      <c r="L242" s="50" t="s">
        <v>493</v>
      </c>
      <c r="M242" s="50" t="s">
        <v>7</v>
      </c>
      <c r="N242" s="111">
        <v>5</v>
      </c>
      <c r="O242" s="111">
        <v>5</v>
      </c>
      <c r="P242" s="111">
        <v>5</v>
      </c>
      <c r="Q242" s="111">
        <v>5</v>
      </c>
      <c r="R242" s="111">
        <v>5</v>
      </c>
      <c r="S242" s="111">
        <v>5</v>
      </c>
      <c r="T242" s="111">
        <v>5</v>
      </c>
      <c r="U242" s="111">
        <v>5</v>
      </c>
      <c r="V242" s="111">
        <v>5</v>
      </c>
      <c r="W242" s="111">
        <v>5</v>
      </c>
      <c r="X242" s="111">
        <v>5</v>
      </c>
      <c r="Y242" s="111">
        <v>5</v>
      </c>
      <c r="Z242" s="111">
        <v>5</v>
      </c>
      <c r="AA242" s="111">
        <v>5</v>
      </c>
      <c r="AB242" s="111">
        <v>5</v>
      </c>
      <c r="AC242" s="111">
        <v>5</v>
      </c>
      <c r="AD242" s="111">
        <v>5</v>
      </c>
      <c r="AE242" s="111">
        <v>5</v>
      </c>
      <c r="AF242" s="111">
        <v>5</v>
      </c>
      <c r="AG242" s="111">
        <v>5</v>
      </c>
      <c r="AH242" s="111">
        <v>5</v>
      </c>
      <c r="AI242" s="111">
        <v>5</v>
      </c>
      <c r="AJ242" s="111">
        <v>5</v>
      </c>
      <c r="AK242" s="111">
        <v>5</v>
      </c>
      <c r="AL242" s="111">
        <v>5</v>
      </c>
      <c r="AM242" s="111">
        <v>5</v>
      </c>
      <c r="AN242" s="111">
        <v>5</v>
      </c>
      <c r="AO242" s="111">
        <v>5</v>
      </c>
      <c r="AP242" s="111">
        <v>5</v>
      </c>
      <c r="AQ242" s="111">
        <v>5</v>
      </c>
      <c r="AR242" s="111">
        <v>5</v>
      </c>
      <c r="AS242" s="111">
        <v>5</v>
      </c>
      <c r="AT242" s="111">
        <v>5</v>
      </c>
      <c r="AU242" s="111">
        <v>5</v>
      </c>
      <c r="AV242" s="50" t="s">
        <v>199</v>
      </c>
      <c r="AW242" s="50" t="s">
        <v>199</v>
      </c>
      <c r="AX242" s="50" t="s">
        <v>199</v>
      </c>
      <c r="AY242" s="50" t="s">
        <v>200</v>
      </c>
      <c r="AZ242" s="50" t="s">
        <v>200</v>
      </c>
      <c r="BA242" s="50" t="s">
        <v>200</v>
      </c>
      <c r="BB242" s="50" t="s">
        <v>200</v>
      </c>
      <c r="BC242" s="50" t="s">
        <v>200</v>
      </c>
      <c r="BD242" s="50" t="s">
        <v>200</v>
      </c>
      <c r="BE242" s="50" t="s">
        <v>200</v>
      </c>
      <c r="BF242" s="50" t="s">
        <v>200</v>
      </c>
      <c r="BG242" s="50" t="s">
        <v>200</v>
      </c>
      <c r="BH242" s="50" t="s">
        <v>200</v>
      </c>
      <c r="BI242" s="50" t="s">
        <v>200</v>
      </c>
      <c r="BJ242" s="50" t="s">
        <v>200</v>
      </c>
      <c r="BK242" s="50" t="s">
        <v>200</v>
      </c>
      <c r="BL242" s="50" t="s">
        <v>200</v>
      </c>
      <c r="BM242" s="50" t="s">
        <v>436</v>
      </c>
      <c r="BN242" s="50" t="s">
        <v>470</v>
      </c>
      <c r="BO242" s="50" t="s">
        <v>91</v>
      </c>
      <c r="BP242" s="50" t="s">
        <v>286</v>
      </c>
      <c r="BQ242" s="50" t="s">
        <v>287</v>
      </c>
      <c r="BR242" s="50" t="s">
        <v>382</v>
      </c>
      <c r="BS242" s="111">
        <v>4</v>
      </c>
      <c r="BT242" s="50" t="s">
        <v>286</v>
      </c>
      <c r="BU242" s="50" t="s">
        <v>312</v>
      </c>
      <c r="BV242" s="50" t="s">
        <v>288</v>
      </c>
      <c r="BW242" s="50" t="s">
        <v>289</v>
      </c>
      <c r="BX242" s="50" t="s">
        <v>300</v>
      </c>
      <c r="BY242" s="50" t="s">
        <v>288</v>
      </c>
      <c r="BZ242" s="50" t="s">
        <v>287</v>
      </c>
      <c r="CA242" s="50"/>
      <c r="CB242" s="50" t="s">
        <v>287</v>
      </c>
      <c r="CC242" s="50" t="s">
        <v>287</v>
      </c>
      <c r="CD242" s="50" t="s">
        <v>287</v>
      </c>
      <c r="CE242" s="50"/>
      <c r="CF242" s="50" t="s">
        <v>287</v>
      </c>
      <c r="CG242" s="50" t="s">
        <v>287</v>
      </c>
      <c r="CH242" s="50" t="s">
        <v>486</v>
      </c>
      <c r="CI242" s="50" t="s">
        <v>287</v>
      </c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</row>
    <row r="243" spans="1:97" ht="36.75" customHeight="1" thickBot="1">
      <c r="A243" s="49">
        <v>46090.430590277778</v>
      </c>
      <c r="B243" s="50" t="s">
        <v>36</v>
      </c>
      <c r="C243" s="50" t="s">
        <v>45</v>
      </c>
      <c r="D243" s="50" t="s">
        <v>369</v>
      </c>
      <c r="E243" s="50" t="s">
        <v>285</v>
      </c>
      <c r="F243" s="50" t="s">
        <v>286</v>
      </c>
      <c r="G243" s="50" t="s">
        <v>73</v>
      </c>
      <c r="H243" s="50" t="s">
        <v>357</v>
      </c>
      <c r="I243" s="50" t="s">
        <v>81</v>
      </c>
      <c r="J243" s="50" t="s">
        <v>286</v>
      </c>
      <c r="K243" s="50" t="s">
        <v>287</v>
      </c>
      <c r="L243" s="50" t="s">
        <v>336</v>
      </c>
      <c r="M243" s="50" t="s">
        <v>7</v>
      </c>
      <c r="N243" s="111">
        <v>5</v>
      </c>
      <c r="O243" s="111">
        <v>5</v>
      </c>
      <c r="P243" s="111">
        <v>5</v>
      </c>
      <c r="Q243" s="111">
        <v>5</v>
      </c>
      <c r="R243" s="111">
        <v>5</v>
      </c>
      <c r="S243" s="111">
        <v>5</v>
      </c>
      <c r="T243" s="111">
        <v>5</v>
      </c>
      <c r="U243" s="111">
        <v>5</v>
      </c>
      <c r="V243" s="111">
        <v>5</v>
      </c>
      <c r="W243" s="111">
        <v>5</v>
      </c>
      <c r="X243" s="111">
        <v>5</v>
      </c>
      <c r="Y243" s="111">
        <v>5</v>
      </c>
      <c r="Z243" s="111">
        <v>5</v>
      </c>
      <c r="AA243" s="111">
        <v>5</v>
      </c>
      <c r="AB243" s="111">
        <v>5</v>
      </c>
      <c r="AC243" s="111">
        <v>5</v>
      </c>
      <c r="AD243" s="111">
        <v>5</v>
      </c>
      <c r="AE243" s="111">
        <v>5</v>
      </c>
      <c r="AF243" s="111">
        <v>5</v>
      </c>
      <c r="AG243" s="111">
        <v>5</v>
      </c>
      <c r="AH243" s="111">
        <v>5</v>
      </c>
      <c r="AI243" s="111">
        <v>5</v>
      </c>
      <c r="AJ243" s="111">
        <v>5</v>
      </c>
      <c r="AK243" s="111">
        <v>5</v>
      </c>
      <c r="AL243" s="111">
        <v>5</v>
      </c>
      <c r="AM243" s="111">
        <v>5</v>
      </c>
      <c r="AN243" s="111">
        <v>5</v>
      </c>
      <c r="AO243" s="111">
        <v>5</v>
      </c>
      <c r="AP243" s="111">
        <v>5</v>
      </c>
      <c r="AQ243" s="111">
        <v>5</v>
      </c>
      <c r="AR243" s="111">
        <v>5</v>
      </c>
      <c r="AS243" s="111">
        <v>5</v>
      </c>
      <c r="AT243" s="111">
        <v>5</v>
      </c>
      <c r="AU243" s="111">
        <v>5</v>
      </c>
      <c r="AV243" s="50" t="s">
        <v>199</v>
      </c>
      <c r="AW243" s="50" t="s">
        <v>199</v>
      </c>
      <c r="AX243" s="50" t="s">
        <v>199</v>
      </c>
      <c r="AY243" s="50" t="s">
        <v>200</v>
      </c>
      <c r="AZ243" s="50" t="s">
        <v>200</v>
      </c>
      <c r="BA243" s="50" t="s">
        <v>200</v>
      </c>
      <c r="BB243" s="50" t="s">
        <v>200</v>
      </c>
      <c r="BC243" s="50" t="s">
        <v>200</v>
      </c>
      <c r="BD243" s="50" t="s">
        <v>200</v>
      </c>
      <c r="BE243" s="50" t="s">
        <v>200</v>
      </c>
      <c r="BF243" s="50" t="s">
        <v>200</v>
      </c>
      <c r="BG243" s="50" t="s">
        <v>200</v>
      </c>
      <c r="BH243" s="50" t="s">
        <v>200</v>
      </c>
      <c r="BI243" s="50" t="s">
        <v>200</v>
      </c>
      <c r="BJ243" s="50" t="s">
        <v>200</v>
      </c>
      <c r="BK243" s="50" t="s">
        <v>200</v>
      </c>
      <c r="BL243" s="50" t="s">
        <v>200</v>
      </c>
      <c r="BM243" s="50" t="s">
        <v>436</v>
      </c>
      <c r="BN243" s="50" t="s">
        <v>318</v>
      </c>
      <c r="BO243" s="50" t="s">
        <v>91</v>
      </c>
      <c r="BP243" s="50" t="s">
        <v>286</v>
      </c>
      <c r="BQ243" s="50" t="s">
        <v>287</v>
      </c>
      <c r="BR243" s="50" t="s">
        <v>414</v>
      </c>
      <c r="BS243" s="111">
        <v>4</v>
      </c>
      <c r="BT243" s="50" t="s">
        <v>286</v>
      </c>
      <c r="BU243" s="50" t="s">
        <v>312</v>
      </c>
      <c r="BV243" s="50" t="s">
        <v>288</v>
      </c>
      <c r="BW243" s="50" t="s">
        <v>303</v>
      </c>
      <c r="BX243" s="50" t="s">
        <v>296</v>
      </c>
      <c r="BY243" s="50" t="s">
        <v>288</v>
      </c>
      <c r="BZ243" s="50" t="s">
        <v>287</v>
      </c>
      <c r="CA243" s="50"/>
      <c r="CB243" s="50" t="s">
        <v>287</v>
      </c>
      <c r="CC243" s="50" t="s">
        <v>287</v>
      </c>
      <c r="CD243" s="50" t="s">
        <v>287</v>
      </c>
      <c r="CE243" s="50"/>
      <c r="CF243" s="50" t="s">
        <v>287</v>
      </c>
      <c r="CG243" s="50" t="s">
        <v>287</v>
      </c>
      <c r="CH243" s="50" t="s">
        <v>486</v>
      </c>
      <c r="CI243" s="50" t="s">
        <v>287</v>
      </c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</row>
    <row r="244" spans="1:97" ht="36.75" customHeight="1" thickBot="1">
      <c r="A244" s="49">
        <v>46090.432164351849</v>
      </c>
      <c r="B244" s="50" t="s">
        <v>40</v>
      </c>
      <c r="C244" s="50" t="s">
        <v>46</v>
      </c>
      <c r="D244" s="50" t="s">
        <v>374</v>
      </c>
      <c r="E244" s="50" t="s">
        <v>61</v>
      </c>
      <c r="F244" s="50" t="s">
        <v>286</v>
      </c>
      <c r="G244" s="50" t="s">
        <v>73</v>
      </c>
      <c r="H244" s="50" t="s">
        <v>558</v>
      </c>
      <c r="I244" s="50" t="s">
        <v>81</v>
      </c>
      <c r="J244" s="50" t="s">
        <v>286</v>
      </c>
      <c r="K244" s="50" t="s">
        <v>287</v>
      </c>
      <c r="L244" s="50" t="s">
        <v>336</v>
      </c>
      <c r="M244" s="50" t="s">
        <v>7</v>
      </c>
      <c r="N244" s="111">
        <v>5</v>
      </c>
      <c r="O244" s="111">
        <v>5</v>
      </c>
      <c r="P244" s="111">
        <v>5</v>
      </c>
      <c r="Q244" s="111">
        <v>5</v>
      </c>
      <c r="R244" s="111">
        <v>5</v>
      </c>
      <c r="S244" s="111">
        <v>5</v>
      </c>
      <c r="T244" s="111">
        <v>5</v>
      </c>
      <c r="U244" s="111">
        <v>5</v>
      </c>
      <c r="V244" s="111">
        <v>5</v>
      </c>
      <c r="W244" s="111">
        <v>5</v>
      </c>
      <c r="X244" s="111">
        <v>5</v>
      </c>
      <c r="Y244" s="111">
        <v>5</v>
      </c>
      <c r="Z244" s="111">
        <v>5</v>
      </c>
      <c r="AA244" s="111">
        <v>5</v>
      </c>
      <c r="AB244" s="111">
        <v>5</v>
      </c>
      <c r="AC244" s="111">
        <v>5</v>
      </c>
      <c r="AD244" s="111">
        <v>5</v>
      </c>
      <c r="AE244" s="111">
        <v>5</v>
      </c>
      <c r="AF244" s="111">
        <v>5</v>
      </c>
      <c r="AG244" s="111">
        <v>5</v>
      </c>
      <c r="AH244" s="111">
        <v>5</v>
      </c>
      <c r="AI244" s="111">
        <v>5</v>
      </c>
      <c r="AJ244" s="111">
        <v>5</v>
      </c>
      <c r="AK244" s="111">
        <v>5</v>
      </c>
      <c r="AL244" s="111">
        <v>5</v>
      </c>
      <c r="AM244" s="111">
        <v>5</v>
      </c>
      <c r="AN244" s="111">
        <v>5</v>
      </c>
      <c r="AO244" s="111">
        <v>5</v>
      </c>
      <c r="AP244" s="111">
        <v>5</v>
      </c>
      <c r="AQ244" s="111">
        <v>5</v>
      </c>
      <c r="AR244" s="111">
        <v>5</v>
      </c>
      <c r="AS244" s="111">
        <v>5</v>
      </c>
      <c r="AT244" s="111">
        <v>5</v>
      </c>
      <c r="AU244" s="111">
        <v>5</v>
      </c>
      <c r="AV244" s="50" t="s">
        <v>199</v>
      </c>
      <c r="AW244" s="50" t="s">
        <v>199</v>
      </c>
      <c r="AX244" s="50" t="s">
        <v>199</v>
      </c>
      <c r="AY244" s="50" t="s">
        <v>200</v>
      </c>
      <c r="AZ244" s="50" t="s">
        <v>200</v>
      </c>
      <c r="BA244" s="50" t="s">
        <v>200</v>
      </c>
      <c r="BB244" s="50" t="s">
        <v>200</v>
      </c>
      <c r="BC244" s="50" t="s">
        <v>200</v>
      </c>
      <c r="BD244" s="50" t="s">
        <v>200</v>
      </c>
      <c r="BE244" s="50" t="s">
        <v>200</v>
      </c>
      <c r="BF244" s="50" t="s">
        <v>200</v>
      </c>
      <c r="BG244" s="50" t="s">
        <v>200</v>
      </c>
      <c r="BH244" s="50" t="s">
        <v>200</v>
      </c>
      <c r="BI244" s="50" t="s">
        <v>200</v>
      </c>
      <c r="BJ244" s="50" t="s">
        <v>200</v>
      </c>
      <c r="BK244" s="50" t="s">
        <v>200</v>
      </c>
      <c r="BL244" s="50" t="s">
        <v>200</v>
      </c>
      <c r="BM244" s="50" t="s">
        <v>436</v>
      </c>
      <c r="BN244" s="50" t="s">
        <v>318</v>
      </c>
      <c r="BO244" s="50" t="s">
        <v>91</v>
      </c>
      <c r="BP244" s="50" t="s">
        <v>286</v>
      </c>
      <c r="BQ244" s="50" t="s">
        <v>287</v>
      </c>
      <c r="BR244" s="50" t="s">
        <v>414</v>
      </c>
      <c r="BS244" s="111">
        <v>4</v>
      </c>
      <c r="BT244" s="50" t="s">
        <v>286</v>
      </c>
      <c r="BU244" s="50" t="s">
        <v>312</v>
      </c>
      <c r="BV244" s="50" t="s">
        <v>288</v>
      </c>
      <c r="BW244" s="50" t="s">
        <v>304</v>
      </c>
      <c r="BX244" s="50" t="s">
        <v>300</v>
      </c>
      <c r="BY244" s="50" t="s">
        <v>288</v>
      </c>
      <c r="BZ244" s="50" t="s">
        <v>287</v>
      </c>
      <c r="CA244" s="50"/>
      <c r="CB244" s="50" t="s">
        <v>287</v>
      </c>
      <c r="CC244" s="50" t="s">
        <v>287</v>
      </c>
      <c r="CD244" s="50" t="s">
        <v>287</v>
      </c>
      <c r="CE244" s="50"/>
      <c r="CF244" s="50" t="s">
        <v>287</v>
      </c>
      <c r="CG244" s="50" t="s">
        <v>287</v>
      </c>
      <c r="CH244" s="50" t="s">
        <v>486</v>
      </c>
      <c r="CI244" s="50" t="s">
        <v>287</v>
      </c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</row>
    <row r="245" spans="1:97" ht="36.75" customHeight="1" thickBot="1">
      <c r="A245" s="49">
        <v>46090.433900462966</v>
      </c>
      <c r="B245" s="50" t="s">
        <v>40</v>
      </c>
      <c r="C245" s="50" t="s">
        <v>45</v>
      </c>
      <c r="D245" s="50" t="s">
        <v>374</v>
      </c>
      <c r="E245" s="50" t="s">
        <v>61</v>
      </c>
      <c r="F245" s="50" t="s">
        <v>286</v>
      </c>
      <c r="G245" s="50" t="s">
        <v>73</v>
      </c>
      <c r="H245" s="50" t="s">
        <v>286</v>
      </c>
      <c r="I245" s="50" t="s">
        <v>81</v>
      </c>
      <c r="J245" s="50" t="s">
        <v>286</v>
      </c>
      <c r="K245" s="50" t="s">
        <v>287</v>
      </c>
      <c r="L245" s="50" t="s">
        <v>336</v>
      </c>
      <c r="M245" s="50" t="s">
        <v>7</v>
      </c>
      <c r="N245" s="111">
        <v>5</v>
      </c>
      <c r="O245" s="111">
        <v>5</v>
      </c>
      <c r="P245" s="111">
        <v>5</v>
      </c>
      <c r="Q245" s="111">
        <v>5</v>
      </c>
      <c r="R245" s="111">
        <v>5</v>
      </c>
      <c r="S245" s="111">
        <v>5</v>
      </c>
      <c r="T245" s="111">
        <v>5</v>
      </c>
      <c r="U245" s="111">
        <v>5</v>
      </c>
      <c r="V245" s="111">
        <v>5</v>
      </c>
      <c r="W245" s="111">
        <v>5</v>
      </c>
      <c r="X245" s="111">
        <v>5</v>
      </c>
      <c r="Y245" s="111">
        <v>5</v>
      </c>
      <c r="Z245" s="111">
        <v>5</v>
      </c>
      <c r="AA245" s="111">
        <v>5</v>
      </c>
      <c r="AB245" s="111">
        <v>5</v>
      </c>
      <c r="AC245" s="111">
        <v>5</v>
      </c>
      <c r="AD245" s="111">
        <v>5</v>
      </c>
      <c r="AE245" s="111">
        <v>5</v>
      </c>
      <c r="AF245" s="111">
        <v>5</v>
      </c>
      <c r="AG245" s="111">
        <v>5</v>
      </c>
      <c r="AH245" s="111">
        <v>5</v>
      </c>
      <c r="AI245" s="111">
        <v>5</v>
      </c>
      <c r="AJ245" s="111">
        <v>5</v>
      </c>
      <c r="AK245" s="111">
        <v>5</v>
      </c>
      <c r="AL245" s="111">
        <v>5</v>
      </c>
      <c r="AM245" s="111">
        <v>5</v>
      </c>
      <c r="AN245" s="111">
        <v>5</v>
      </c>
      <c r="AO245" s="111">
        <v>5</v>
      </c>
      <c r="AP245" s="111">
        <v>5</v>
      </c>
      <c r="AQ245" s="111">
        <v>5</v>
      </c>
      <c r="AR245" s="111">
        <v>5</v>
      </c>
      <c r="AS245" s="111">
        <v>5</v>
      </c>
      <c r="AT245" s="111">
        <v>5</v>
      </c>
      <c r="AU245" s="111">
        <v>5</v>
      </c>
      <c r="AV245" s="50" t="s">
        <v>199</v>
      </c>
      <c r="AW245" s="50" t="s">
        <v>199</v>
      </c>
      <c r="AX245" s="50" t="s">
        <v>199</v>
      </c>
      <c r="AY245" s="50" t="s">
        <v>200</v>
      </c>
      <c r="AZ245" s="50" t="s">
        <v>200</v>
      </c>
      <c r="BA245" s="50" t="s">
        <v>200</v>
      </c>
      <c r="BB245" s="50" t="s">
        <v>200</v>
      </c>
      <c r="BC245" s="50" t="s">
        <v>200</v>
      </c>
      <c r="BD245" s="50" t="s">
        <v>200</v>
      </c>
      <c r="BE245" s="50" t="s">
        <v>200</v>
      </c>
      <c r="BF245" s="50" t="s">
        <v>200</v>
      </c>
      <c r="BG245" s="50" t="s">
        <v>200</v>
      </c>
      <c r="BH245" s="50" t="s">
        <v>200</v>
      </c>
      <c r="BI245" s="50" t="s">
        <v>200</v>
      </c>
      <c r="BJ245" s="50" t="s">
        <v>200</v>
      </c>
      <c r="BK245" s="50" t="s">
        <v>200</v>
      </c>
      <c r="BL245" s="50" t="s">
        <v>200</v>
      </c>
      <c r="BM245" s="50" t="s">
        <v>436</v>
      </c>
      <c r="BN245" s="50" t="s">
        <v>318</v>
      </c>
      <c r="BO245" s="50" t="s">
        <v>91</v>
      </c>
      <c r="BP245" s="50" t="s">
        <v>286</v>
      </c>
      <c r="BQ245" s="50" t="s">
        <v>287</v>
      </c>
      <c r="BR245" s="50" t="s">
        <v>403</v>
      </c>
      <c r="BS245" s="111">
        <v>4</v>
      </c>
      <c r="BT245" s="50" t="s">
        <v>286</v>
      </c>
      <c r="BU245" s="50" t="s">
        <v>312</v>
      </c>
      <c r="BV245" s="50" t="s">
        <v>288</v>
      </c>
      <c r="BW245" s="50" t="s">
        <v>303</v>
      </c>
      <c r="BX245" s="50" t="s">
        <v>290</v>
      </c>
      <c r="BY245" s="50" t="s">
        <v>288</v>
      </c>
      <c r="BZ245" s="50" t="s">
        <v>287</v>
      </c>
      <c r="CA245" s="50"/>
      <c r="CB245" s="50" t="s">
        <v>287</v>
      </c>
      <c r="CC245" s="50" t="s">
        <v>287</v>
      </c>
      <c r="CD245" s="50" t="s">
        <v>287</v>
      </c>
      <c r="CE245" s="50"/>
      <c r="CF245" s="50" t="s">
        <v>287</v>
      </c>
      <c r="CG245" s="50" t="s">
        <v>287</v>
      </c>
      <c r="CH245" s="50" t="s">
        <v>486</v>
      </c>
      <c r="CI245" s="50" t="s">
        <v>287</v>
      </c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</row>
    <row r="246" spans="1:97" ht="36.75" customHeight="1" thickBot="1">
      <c r="A246" s="49">
        <v>46090.574467592596</v>
      </c>
      <c r="B246" s="50" t="s">
        <v>40</v>
      </c>
      <c r="C246" s="50" t="s">
        <v>45</v>
      </c>
      <c r="D246" s="50" t="s">
        <v>369</v>
      </c>
      <c r="E246" s="50" t="s">
        <v>285</v>
      </c>
      <c r="F246" s="50" t="s">
        <v>286</v>
      </c>
      <c r="G246" s="50" t="s">
        <v>73</v>
      </c>
      <c r="H246" s="50" t="s">
        <v>531</v>
      </c>
      <c r="I246" s="50" t="s">
        <v>81</v>
      </c>
      <c r="J246" s="50" t="s">
        <v>286</v>
      </c>
      <c r="K246" s="50" t="s">
        <v>287</v>
      </c>
      <c r="L246" s="50" t="s">
        <v>336</v>
      </c>
      <c r="M246" s="50" t="s">
        <v>7</v>
      </c>
      <c r="N246" s="111">
        <v>5</v>
      </c>
      <c r="O246" s="111">
        <v>5</v>
      </c>
      <c r="P246" s="111">
        <v>5</v>
      </c>
      <c r="Q246" s="111">
        <v>5</v>
      </c>
      <c r="R246" s="111">
        <v>5</v>
      </c>
      <c r="S246" s="111">
        <v>5</v>
      </c>
      <c r="T246" s="111">
        <v>5</v>
      </c>
      <c r="U246" s="111">
        <v>5</v>
      </c>
      <c r="V246" s="111">
        <v>5</v>
      </c>
      <c r="W246" s="111">
        <v>5</v>
      </c>
      <c r="X246" s="111">
        <v>5</v>
      </c>
      <c r="Y246" s="111">
        <v>5</v>
      </c>
      <c r="Z246" s="111">
        <v>5</v>
      </c>
      <c r="AA246" s="111">
        <v>5</v>
      </c>
      <c r="AB246" s="111">
        <v>5</v>
      </c>
      <c r="AC246" s="111">
        <v>5</v>
      </c>
      <c r="AD246" s="111">
        <v>5</v>
      </c>
      <c r="AE246" s="111">
        <v>5</v>
      </c>
      <c r="AF246" s="111">
        <v>5</v>
      </c>
      <c r="AG246" s="111">
        <v>5</v>
      </c>
      <c r="AH246" s="111">
        <v>5</v>
      </c>
      <c r="AI246" s="111">
        <v>5</v>
      </c>
      <c r="AJ246" s="111">
        <v>5</v>
      </c>
      <c r="AK246" s="111">
        <v>5</v>
      </c>
      <c r="AL246" s="111">
        <v>5</v>
      </c>
      <c r="AM246" s="111">
        <v>5</v>
      </c>
      <c r="AN246" s="111">
        <v>5</v>
      </c>
      <c r="AO246" s="111">
        <v>5</v>
      </c>
      <c r="AP246" s="111">
        <v>5</v>
      </c>
      <c r="AQ246" s="111">
        <v>5</v>
      </c>
      <c r="AR246" s="111">
        <v>5</v>
      </c>
      <c r="AS246" s="111">
        <v>5</v>
      </c>
      <c r="AT246" s="111">
        <v>5</v>
      </c>
      <c r="AU246" s="111">
        <v>5</v>
      </c>
      <c r="AV246" s="50" t="s">
        <v>199</v>
      </c>
      <c r="AW246" s="50" t="s">
        <v>199</v>
      </c>
      <c r="AX246" s="50" t="s">
        <v>199</v>
      </c>
      <c r="AY246" s="50" t="s">
        <v>200</v>
      </c>
      <c r="AZ246" s="50" t="s">
        <v>200</v>
      </c>
      <c r="BA246" s="50" t="s">
        <v>200</v>
      </c>
      <c r="BB246" s="50" t="s">
        <v>200</v>
      </c>
      <c r="BC246" s="50" t="s">
        <v>200</v>
      </c>
      <c r="BD246" s="50" t="s">
        <v>200</v>
      </c>
      <c r="BE246" s="50" t="s">
        <v>200</v>
      </c>
      <c r="BF246" s="50" t="s">
        <v>200</v>
      </c>
      <c r="BG246" s="50" t="s">
        <v>200</v>
      </c>
      <c r="BH246" s="50" t="s">
        <v>200</v>
      </c>
      <c r="BI246" s="50" t="s">
        <v>200</v>
      </c>
      <c r="BJ246" s="50" t="s">
        <v>200</v>
      </c>
      <c r="BK246" s="50" t="s">
        <v>200</v>
      </c>
      <c r="BL246" s="50" t="s">
        <v>200</v>
      </c>
      <c r="BM246" s="50" t="s">
        <v>436</v>
      </c>
      <c r="BN246" s="50" t="s">
        <v>318</v>
      </c>
      <c r="BO246" s="50" t="s">
        <v>91</v>
      </c>
      <c r="BP246" s="50" t="s">
        <v>286</v>
      </c>
      <c r="BQ246" s="50" t="s">
        <v>287</v>
      </c>
      <c r="BR246" s="50" t="s">
        <v>407</v>
      </c>
      <c r="BS246" s="111">
        <v>4</v>
      </c>
      <c r="BT246" s="50" t="s">
        <v>286</v>
      </c>
      <c r="BU246" s="50" t="s">
        <v>312</v>
      </c>
      <c r="BV246" s="50" t="s">
        <v>288</v>
      </c>
      <c r="BW246" s="50" t="s">
        <v>303</v>
      </c>
      <c r="BX246" s="50" t="s">
        <v>300</v>
      </c>
      <c r="BY246" s="50" t="s">
        <v>288</v>
      </c>
      <c r="BZ246" s="50" t="s">
        <v>287</v>
      </c>
      <c r="CA246" s="50"/>
      <c r="CB246" s="50" t="s">
        <v>287</v>
      </c>
      <c r="CC246" s="50" t="s">
        <v>287</v>
      </c>
      <c r="CD246" s="50" t="s">
        <v>287</v>
      </c>
      <c r="CE246" s="50"/>
      <c r="CF246" s="50" t="s">
        <v>287</v>
      </c>
      <c r="CG246" s="50" t="s">
        <v>287</v>
      </c>
      <c r="CH246" s="50" t="s">
        <v>486</v>
      </c>
      <c r="CI246" s="50" t="s">
        <v>287</v>
      </c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</row>
    <row r="247" spans="1:97" ht="36.75" customHeight="1" thickBot="1">
      <c r="A247" s="49">
        <v>46090.576956018522</v>
      </c>
      <c r="B247" s="50" t="s">
        <v>40</v>
      </c>
      <c r="C247" s="50" t="s">
        <v>45</v>
      </c>
      <c r="D247" s="50" t="s">
        <v>374</v>
      </c>
      <c r="E247" s="50" t="s">
        <v>62</v>
      </c>
      <c r="F247" s="50" t="s">
        <v>286</v>
      </c>
      <c r="G247" s="50" t="s">
        <v>73</v>
      </c>
      <c r="H247" s="50" t="s">
        <v>346</v>
      </c>
      <c r="I247" s="50" t="s">
        <v>81</v>
      </c>
      <c r="J247" s="50" t="s">
        <v>286</v>
      </c>
      <c r="K247" s="50" t="s">
        <v>287</v>
      </c>
      <c r="L247" s="50" t="s">
        <v>336</v>
      </c>
      <c r="M247" s="50" t="s">
        <v>7</v>
      </c>
      <c r="N247" s="111">
        <v>5</v>
      </c>
      <c r="O247" s="111">
        <v>5</v>
      </c>
      <c r="P247" s="111">
        <v>5</v>
      </c>
      <c r="Q247" s="111">
        <v>5</v>
      </c>
      <c r="R247" s="111">
        <v>5</v>
      </c>
      <c r="S247" s="111">
        <v>5</v>
      </c>
      <c r="T247" s="111">
        <v>5</v>
      </c>
      <c r="U247" s="111">
        <v>5</v>
      </c>
      <c r="V247" s="111">
        <v>5</v>
      </c>
      <c r="W247" s="111">
        <v>5</v>
      </c>
      <c r="X247" s="111">
        <v>5</v>
      </c>
      <c r="Y247" s="111">
        <v>5</v>
      </c>
      <c r="Z247" s="111">
        <v>5</v>
      </c>
      <c r="AA247" s="111">
        <v>5</v>
      </c>
      <c r="AB247" s="111">
        <v>5</v>
      </c>
      <c r="AC247" s="111">
        <v>5</v>
      </c>
      <c r="AD247" s="111">
        <v>5</v>
      </c>
      <c r="AE247" s="111">
        <v>5</v>
      </c>
      <c r="AF247" s="111">
        <v>5</v>
      </c>
      <c r="AG247" s="111">
        <v>5</v>
      </c>
      <c r="AH247" s="111">
        <v>5</v>
      </c>
      <c r="AI247" s="111">
        <v>5</v>
      </c>
      <c r="AJ247" s="111">
        <v>5</v>
      </c>
      <c r="AK247" s="111">
        <v>5</v>
      </c>
      <c r="AL247" s="111">
        <v>5</v>
      </c>
      <c r="AM247" s="111">
        <v>5</v>
      </c>
      <c r="AN247" s="111">
        <v>5</v>
      </c>
      <c r="AO247" s="111">
        <v>5</v>
      </c>
      <c r="AP247" s="111">
        <v>5</v>
      </c>
      <c r="AQ247" s="111">
        <v>5</v>
      </c>
      <c r="AR247" s="111">
        <v>5</v>
      </c>
      <c r="AS247" s="111">
        <v>5</v>
      </c>
      <c r="AT247" s="111">
        <v>5</v>
      </c>
      <c r="AU247" s="111">
        <v>5</v>
      </c>
      <c r="AV247" s="50" t="s">
        <v>199</v>
      </c>
      <c r="AW247" s="50" t="s">
        <v>199</v>
      </c>
      <c r="AX247" s="50" t="s">
        <v>199</v>
      </c>
      <c r="AY247" s="50" t="s">
        <v>200</v>
      </c>
      <c r="AZ247" s="50" t="s">
        <v>200</v>
      </c>
      <c r="BA247" s="50" t="s">
        <v>200</v>
      </c>
      <c r="BB247" s="50" t="s">
        <v>200</v>
      </c>
      <c r="BC247" s="50" t="s">
        <v>200</v>
      </c>
      <c r="BD247" s="50" t="s">
        <v>200</v>
      </c>
      <c r="BE247" s="50" t="s">
        <v>200</v>
      </c>
      <c r="BF247" s="50" t="s">
        <v>200</v>
      </c>
      <c r="BG247" s="50" t="s">
        <v>200</v>
      </c>
      <c r="BH247" s="50" t="s">
        <v>200</v>
      </c>
      <c r="BI247" s="50" t="s">
        <v>200</v>
      </c>
      <c r="BJ247" s="50" t="s">
        <v>200</v>
      </c>
      <c r="BK247" s="50" t="s">
        <v>200</v>
      </c>
      <c r="BL247" s="50" t="s">
        <v>200</v>
      </c>
      <c r="BM247" s="50" t="s">
        <v>436</v>
      </c>
      <c r="BN247" s="50" t="s">
        <v>318</v>
      </c>
      <c r="BO247" s="50" t="s">
        <v>91</v>
      </c>
      <c r="BP247" s="50" t="s">
        <v>286</v>
      </c>
      <c r="BQ247" s="50" t="s">
        <v>287</v>
      </c>
      <c r="BR247" s="50" t="s">
        <v>404</v>
      </c>
      <c r="BS247" s="111">
        <v>4</v>
      </c>
      <c r="BT247" s="50" t="s">
        <v>286</v>
      </c>
      <c r="BU247" s="50" t="s">
        <v>312</v>
      </c>
      <c r="BV247" s="50" t="s">
        <v>288</v>
      </c>
      <c r="BW247" s="50" t="s">
        <v>303</v>
      </c>
      <c r="BX247" s="50" t="s">
        <v>300</v>
      </c>
      <c r="BY247" s="50" t="s">
        <v>288</v>
      </c>
      <c r="BZ247" s="50" t="s">
        <v>287</v>
      </c>
      <c r="CA247" s="50"/>
      <c r="CB247" s="50" t="s">
        <v>287</v>
      </c>
      <c r="CC247" s="50" t="s">
        <v>287</v>
      </c>
      <c r="CD247" s="50" t="s">
        <v>287</v>
      </c>
      <c r="CE247" s="50"/>
      <c r="CF247" s="50" t="s">
        <v>287</v>
      </c>
      <c r="CG247" s="50" t="s">
        <v>287</v>
      </c>
      <c r="CH247" s="50" t="s">
        <v>486</v>
      </c>
      <c r="CI247" s="50" t="s">
        <v>287</v>
      </c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</row>
    <row r="248" spans="1:97" ht="36.75" customHeight="1" thickBot="1">
      <c r="A248" s="49">
        <v>46090.580138888887</v>
      </c>
      <c r="B248" s="50" t="s">
        <v>40</v>
      </c>
      <c r="C248" s="50" t="s">
        <v>45</v>
      </c>
      <c r="D248" s="50" t="s">
        <v>374</v>
      </c>
      <c r="E248" s="50" t="s">
        <v>61</v>
      </c>
      <c r="F248" s="50" t="s">
        <v>286</v>
      </c>
      <c r="G248" s="50" t="s">
        <v>73</v>
      </c>
      <c r="H248" s="50" t="s">
        <v>522</v>
      </c>
      <c r="I248" s="50" t="s">
        <v>81</v>
      </c>
      <c r="J248" s="50" t="s">
        <v>286</v>
      </c>
      <c r="K248" s="50" t="s">
        <v>287</v>
      </c>
      <c r="L248" s="50" t="s">
        <v>336</v>
      </c>
      <c r="M248" s="50" t="s">
        <v>7</v>
      </c>
      <c r="N248" s="111">
        <v>5</v>
      </c>
      <c r="O248" s="111">
        <v>5</v>
      </c>
      <c r="P248" s="111">
        <v>5</v>
      </c>
      <c r="Q248" s="111">
        <v>5</v>
      </c>
      <c r="R248" s="111">
        <v>5</v>
      </c>
      <c r="S248" s="111">
        <v>5</v>
      </c>
      <c r="T248" s="111">
        <v>5</v>
      </c>
      <c r="U248" s="111">
        <v>5</v>
      </c>
      <c r="V248" s="111">
        <v>5</v>
      </c>
      <c r="W248" s="111">
        <v>5</v>
      </c>
      <c r="X248" s="111">
        <v>5</v>
      </c>
      <c r="Y248" s="111">
        <v>5</v>
      </c>
      <c r="Z248" s="111">
        <v>5</v>
      </c>
      <c r="AA248" s="111">
        <v>5</v>
      </c>
      <c r="AB248" s="111">
        <v>5</v>
      </c>
      <c r="AC248" s="111">
        <v>5</v>
      </c>
      <c r="AD248" s="111">
        <v>5</v>
      </c>
      <c r="AE248" s="111">
        <v>5</v>
      </c>
      <c r="AF248" s="111">
        <v>5</v>
      </c>
      <c r="AG248" s="111">
        <v>5</v>
      </c>
      <c r="AH248" s="111">
        <v>5</v>
      </c>
      <c r="AI248" s="111">
        <v>5</v>
      </c>
      <c r="AJ248" s="111">
        <v>5</v>
      </c>
      <c r="AK248" s="111">
        <v>5</v>
      </c>
      <c r="AL248" s="111">
        <v>5</v>
      </c>
      <c r="AM248" s="111">
        <v>5</v>
      </c>
      <c r="AN248" s="111">
        <v>5</v>
      </c>
      <c r="AO248" s="111">
        <v>5</v>
      </c>
      <c r="AP248" s="111">
        <v>5</v>
      </c>
      <c r="AQ248" s="111">
        <v>5</v>
      </c>
      <c r="AR248" s="111">
        <v>5</v>
      </c>
      <c r="AS248" s="111">
        <v>5</v>
      </c>
      <c r="AT248" s="111">
        <v>5</v>
      </c>
      <c r="AU248" s="111">
        <v>5</v>
      </c>
      <c r="AV248" s="50" t="s">
        <v>199</v>
      </c>
      <c r="AW248" s="50" t="s">
        <v>199</v>
      </c>
      <c r="AX248" s="50" t="s">
        <v>199</v>
      </c>
      <c r="AY248" s="50" t="s">
        <v>200</v>
      </c>
      <c r="AZ248" s="50" t="s">
        <v>200</v>
      </c>
      <c r="BA248" s="50" t="s">
        <v>200</v>
      </c>
      <c r="BB248" s="50" t="s">
        <v>200</v>
      </c>
      <c r="BC248" s="50" t="s">
        <v>200</v>
      </c>
      <c r="BD248" s="50" t="s">
        <v>200</v>
      </c>
      <c r="BE248" s="50" t="s">
        <v>200</v>
      </c>
      <c r="BF248" s="50" t="s">
        <v>200</v>
      </c>
      <c r="BG248" s="50" t="s">
        <v>200</v>
      </c>
      <c r="BH248" s="50" t="s">
        <v>200</v>
      </c>
      <c r="BI248" s="50" t="s">
        <v>200</v>
      </c>
      <c r="BJ248" s="50" t="s">
        <v>200</v>
      </c>
      <c r="BK248" s="50" t="s">
        <v>200</v>
      </c>
      <c r="BL248" s="50" t="s">
        <v>200</v>
      </c>
      <c r="BM248" s="50" t="s">
        <v>436</v>
      </c>
      <c r="BN248" s="50" t="s">
        <v>318</v>
      </c>
      <c r="BO248" s="50" t="s">
        <v>432</v>
      </c>
      <c r="BP248" s="50" t="s">
        <v>286</v>
      </c>
      <c r="BQ248" s="50" t="s">
        <v>287</v>
      </c>
      <c r="BR248" s="50" t="s">
        <v>406</v>
      </c>
      <c r="BS248" s="111">
        <v>4</v>
      </c>
      <c r="BT248" s="50" t="s">
        <v>286</v>
      </c>
      <c r="BU248" s="50" t="s">
        <v>312</v>
      </c>
      <c r="BV248" s="50" t="s">
        <v>288</v>
      </c>
      <c r="BW248" s="50" t="s">
        <v>289</v>
      </c>
      <c r="BX248" s="50" t="s">
        <v>290</v>
      </c>
      <c r="BY248" s="50" t="s">
        <v>288</v>
      </c>
      <c r="BZ248" s="50" t="s">
        <v>287</v>
      </c>
      <c r="CA248" s="50"/>
      <c r="CB248" s="50" t="s">
        <v>287</v>
      </c>
      <c r="CC248" s="50" t="s">
        <v>287</v>
      </c>
      <c r="CD248" s="50" t="s">
        <v>287</v>
      </c>
      <c r="CE248" s="50"/>
      <c r="CF248" s="50" t="s">
        <v>287</v>
      </c>
      <c r="CG248" s="50" t="s">
        <v>287</v>
      </c>
      <c r="CH248" s="50" t="s">
        <v>486</v>
      </c>
      <c r="CI248" s="50" t="s">
        <v>287</v>
      </c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</row>
    <row r="249" spans="1:97" ht="36.75" customHeight="1" thickBot="1">
      <c r="A249" s="49">
        <v>46090.582372685189</v>
      </c>
      <c r="B249" s="50" t="s">
        <v>40</v>
      </c>
      <c r="C249" s="50" t="s">
        <v>46</v>
      </c>
      <c r="D249" s="50" t="s">
        <v>369</v>
      </c>
      <c r="E249" s="50" t="s">
        <v>65</v>
      </c>
      <c r="F249" s="50" t="s">
        <v>286</v>
      </c>
      <c r="G249" s="50" t="s">
        <v>73</v>
      </c>
      <c r="H249" s="50" t="s">
        <v>349</v>
      </c>
      <c r="I249" s="50" t="s">
        <v>91</v>
      </c>
      <c r="J249" s="50" t="s">
        <v>286</v>
      </c>
      <c r="K249" s="50" t="s">
        <v>291</v>
      </c>
      <c r="L249" s="50" t="s">
        <v>286</v>
      </c>
      <c r="M249" s="50" t="s">
        <v>370</v>
      </c>
      <c r="N249" s="111">
        <v>5</v>
      </c>
      <c r="O249" s="111">
        <v>5</v>
      </c>
      <c r="P249" s="111">
        <v>5</v>
      </c>
      <c r="Q249" s="111">
        <v>5</v>
      </c>
      <c r="R249" s="111">
        <v>5</v>
      </c>
      <c r="S249" s="111">
        <v>6</v>
      </c>
      <c r="T249" s="111">
        <v>5</v>
      </c>
      <c r="U249" s="111">
        <v>5</v>
      </c>
      <c r="V249" s="111">
        <v>6</v>
      </c>
      <c r="W249" s="111">
        <v>6</v>
      </c>
      <c r="X249" s="111">
        <v>6</v>
      </c>
      <c r="Y249" s="111">
        <v>6</v>
      </c>
      <c r="Z249" s="111">
        <v>6</v>
      </c>
      <c r="AA249" s="111">
        <v>6</v>
      </c>
      <c r="AB249" s="111">
        <v>6</v>
      </c>
      <c r="AC249" s="111">
        <v>5</v>
      </c>
      <c r="AD249" s="111">
        <v>5</v>
      </c>
      <c r="AE249" s="111">
        <v>5</v>
      </c>
      <c r="AF249" s="111">
        <v>5</v>
      </c>
      <c r="AG249" s="111">
        <v>5</v>
      </c>
      <c r="AH249" s="111">
        <v>5</v>
      </c>
      <c r="AI249" s="111">
        <v>5</v>
      </c>
      <c r="AJ249" s="111">
        <v>5</v>
      </c>
      <c r="AK249" s="111">
        <v>5</v>
      </c>
      <c r="AL249" s="111">
        <v>5</v>
      </c>
      <c r="AM249" s="111">
        <v>5</v>
      </c>
      <c r="AN249" s="111">
        <v>5</v>
      </c>
      <c r="AO249" s="111">
        <v>5</v>
      </c>
      <c r="AP249" s="111">
        <v>5</v>
      </c>
      <c r="AQ249" s="111">
        <v>6</v>
      </c>
      <c r="AR249" s="111">
        <v>5</v>
      </c>
      <c r="AS249" s="111">
        <v>5</v>
      </c>
      <c r="AT249" s="111">
        <v>5</v>
      </c>
      <c r="AU249" s="111">
        <v>5</v>
      </c>
      <c r="AV249" s="50" t="s">
        <v>202</v>
      </c>
      <c r="AW249" s="50" t="s">
        <v>202</v>
      </c>
      <c r="AX249" s="50" t="s">
        <v>201</v>
      </c>
      <c r="AY249" s="50" t="s">
        <v>199</v>
      </c>
      <c r="AZ249" s="50" t="s">
        <v>202</v>
      </c>
      <c r="BA249" s="50" t="s">
        <v>199</v>
      </c>
      <c r="BB249" s="50" t="s">
        <v>202</v>
      </c>
      <c r="BC249" s="50" t="s">
        <v>202</v>
      </c>
      <c r="BD249" s="50" t="s">
        <v>202</v>
      </c>
      <c r="BE249" s="50" t="s">
        <v>199</v>
      </c>
      <c r="BF249" s="50" t="s">
        <v>201</v>
      </c>
      <c r="BG249" s="50" t="s">
        <v>202</v>
      </c>
      <c r="BH249" s="50" t="s">
        <v>200</v>
      </c>
      <c r="BI249" s="50" t="s">
        <v>202</v>
      </c>
      <c r="BJ249" s="50" t="s">
        <v>202</v>
      </c>
      <c r="BK249" s="50" t="s">
        <v>202</v>
      </c>
      <c r="BL249" s="50" t="s">
        <v>202</v>
      </c>
      <c r="BM249" s="50" t="s">
        <v>436</v>
      </c>
      <c r="BN249" s="50" t="s">
        <v>479</v>
      </c>
      <c r="BO249" s="50" t="s">
        <v>91</v>
      </c>
      <c r="BP249" s="50" t="s">
        <v>286</v>
      </c>
      <c r="BQ249" s="50" t="s">
        <v>287</v>
      </c>
      <c r="BR249" s="50" t="s">
        <v>372</v>
      </c>
      <c r="BS249" s="111">
        <v>5</v>
      </c>
      <c r="BT249" s="50" t="s">
        <v>286</v>
      </c>
      <c r="BU249" s="50" t="s">
        <v>348</v>
      </c>
      <c r="BV249" s="50" t="s">
        <v>288</v>
      </c>
      <c r="BW249" s="50" t="s">
        <v>350</v>
      </c>
      <c r="BX249" s="50" t="s">
        <v>387</v>
      </c>
      <c r="BY249" s="50" t="s">
        <v>288</v>
      </c>
      <c r="BZ249" s="50" t="s">
        <v>287</v>
      </c>
      <c r="CA249" s="50"/>
      <c r="CB249" s="50" t="s">
        <v>287</v>
      </c>
      <c r="CC249" s="50" t="s">
        <v>287</v>
      </c>
      <c r="CD249" s="50" t="s">
        <v>287</v>
      </c>
      <c r="CE249" s="50"/>
      <c r="CF249" s="50" t="s">
        <v>287</v>
      </c>
      <c r="CG249" s="50" t="s">
        <v>287</v>
      </c>
      <c r="CH249" s="50" t="s">
        <v>486</v>
      </c>
      <c r="CI249" s="50" t="s">
        <v>287</v>
      </c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</row>
    <row r="250" spans="1:97" ht="36.75" customHeight="1" thickBot="1">
      <c r="A250" s="49">
        <v>46090.585219907407</v>
      </c>
      <c r="B250" s="50" t="s">
        <v>40</v>
      </c>
      <c r="C250" s="50" t="s">
        <v>45</v>
      </c>
      <c r="D250" s="50" t="s">
        <v>374</v>
      </c>
      <c r="E250" s="50" t="s">
        <v>61</v>
      </c>
      <c r="F250" s="50" t="s">
        <v>286</v>
      </c>
      <c r="G250" s="50" t="s">
        <v>292</v>
      </c>
      <c r="H250" s="50" t="s">
        <v>473</v>
      </c>
      <c r="I250" s="50" t="s">
        <v>81</v>
      </c>
      <c r="J250" s="50" t="s">
        <v>286</v>
      </c>
      <c r="K250" s="50" t="s">
        <v>287</v>
      </c>
      <c r="L250" s="50" t="s">
        <v>336</v>
      </c>
      <c r="M250" s="50" t="s">
        <v>7</v>
      </c>
      <c r="N250" s="111">
        <v>5</v>
      </c>
      <c r="O250" s="111">
        <v>5</v>
      </c>
      <c r="P250" s="111">
        <v>5</v>
      </c>
      <c r="Q250" s="111">
        <v>5</v>
      </c>
      <c r="R250" s="111">
        <v>5</v>
      </c>
      <c r="S250" s="111">
        <v>5</v>
      </c>
      <c r="T250" s="111">
        <v>5</v>
      </c>
      <c r="U250" s="111">
        <v>5</v>
      </c>
      <c r="V250" s="111">
        <v>5</v>
      </c>
      <c r="W250" s="111">
        <v>5</v>
      </c>
      <c r="X250" s="111">
        <v>5</v>
      </c>
      <c r="Y250" s="111">
        <v>5</v>
      </c>
      <c r="Z250" s="111">
        <v>5</v>
      </c>
      <c r="AA250" s="111">
        <v>5</v>
      </c>
      <c r="AB250" s="111">
        <v>5</v>
      </c>
      <c r="AC250" s="111">
        <v>5</v>
      </c>
      <c r="AD250" s="111">
        <v>5</v>
      </c>
      <c r="AE250" s="111">
        <v>5</v>
      </c>
      <c r="AF250" s="111">
        <v>5</v>
      </c>
      <c r="AG250" s="111">
        <v>5</v>
      </c>
      <c r="AH250" s="111">
        <v>5</v>
      </c>
      <c r="AI250" s="111">
        <v>5</v>
      </c>
      <c r="AJ250" s="111">
        <v>5</v>
      </c>
      <c r="AK250" s="111">
        <v>5</v>
      </c>
      <c r="AL250" s="111">
        <v>5</v>
      </c>
      <c r="AM250" s="111">
        <v>5</v>
      </c>
      <c r="AN250" s="111">
        <v>5</v>
      </c>
      <c r="AO250" s="111">
        <v>5</v>
      </c>
      <c r="AP250" s="111">
        <v>5</v>
      </c>
      <c r="AQ250" s="111">
        <v>5</v>
      </c>
      <c r="AR250" s="111">
        <v>5</v>
      </c>
      <c r="AS250" s="111">
        <v>5</v>
      </c>
      <c r="AT250" s="111">
        <v>5</v>
      </c>
      <c r="AU250" s="111">
        <v>5</v>
      </c>
      <c r="AV250" s="50" t="s">
        <v>199</v>
      </c>
      <c r="AW250" s="50" t="s">
        <v>199</v>
      </c>
      <c r="AX250" s="50" t="s">
        <v>199</v>
      </c>
      <c r="AY250" s="50" t="s">
        <v>200</v>
      </c>
      <c r="AZ250" s="50" t="s">
        <v>200</v>
      </c>
      <c r="BA250" s="50" t="s">
        <v>200</v>
      </c>
      <c r="BB250" s="50" t="s">
        <v>200</v>
      </c>
      <c r="BC250" s="50" t="s">
        <v>200</v>
      </c>
      <c r="BD250" s="50" t="s">
        <v>200</v>
      </c>
      <c r="BE250" s="50" t="s">
        <v>200</v>
      </c>
      <c r="BF250" s="50" t="s">
        <v>200</v>
      </c>
      <c r="BG250" s="50" t="s">
        <v>200</v>
      </c>
      <c r="BH250" s="50" t="s">
        <v>200</v>
      </c>
      <c r="BI250" s="50" t="s">
        <v>200</v>
      </c>
      <c r="BJ250" s="50" t="s">
        <v>200</v>
      </c>
      <c r="BK250" s="50" t="s">
        <v>200</v>
      </c>
      <c r="BL250" s="50" t="s">
        <v>200</v>
      </c>
      <c r="BM250" s="50" t="s">
        <v>436</v>
      </c>
      <c r="BN250" s="50" t="s">
        <v>318</v>
      </c>
      <c r="BO250" s="50" t="s">
        <v>91</v>
      </c>
      <c r="BP250" s="50" t="s">
        <v>286</v>
      </c>
      <c r="BQ250" s="50" t="s">
        <v>287</v>
      </c>
      <c r="BR250" s="50" t="s">
        <v>373</v>
      </c>
      <c r="BS250" s="111">
        <v>4</v>
      </c>
      <c r="BT250" s="50" t="s">
        <v>286</v>
      </c>
      <c r="BU250" s="50" t="s">
        <v>312</v>
      </c>
      <c r="BV250" s="50" t="s">
        <v>288</v>
      </c>
      <c r="BW250" s="50" t="s">
        <v>304</v>
      </c>
      <c r="BX250" s="50" t="s">
        <v>300</v>
      </c>
      <c r="BY250" s="50" t="s">
        <v>288</v>
      </c>
      <c r="BZ250" s="50" t="s">
        <v>287</v>
      </c>
      <c r="CA250" s="50"/>
      <c r="CB250" s="50" t="s">
        <v>287</v>
      </c>
      <c r="CC250" s="50" t="s">
        <v>287</v>
      </c>
      <c r="CD250" s="50" t="s">
        <v>287</v>
      </c>
      <c r="CE250" s="50"/>
      <c r="CF250" s="50" t="s">
        <v>287</v>
      </c>
      <c r="CG250" s="50" t="s">
        <v>287</v>
      </c>
      <c r="CH250" s="50" t="s">
        <v>486</v>
      </c>
      <c r="CI250" s="50" t="s">
        <v>287</v>
      </c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</row>
    <row r="251" spans="1:97" ht="36.75" customHeight="1" thickBot="1">
      <c r="A251" s="49">
        <v>46090.587939814817</v>
      </c>
      <c r="B251" s="50" t="s">
        <v>39</v>
      </c>
      <c r="C251" s="50" t="s">
        <v>46</v>
      </c>
      <c r="D251" s="50" t="s">
        <v>374</v>
      </c>
      <c r="E251" s="50" t="s">
        <v>62</v>
      </c>
      <c r="F251" s="50" t="s">
        <v>286</v>
      </c>
      <c r="G251" s="50" t="s">
        <v>73</v>
      </c>
      <c r="H251" s="50" t="s">
        <v>321</v>
      </c>
      <c r="I251" s="50" t="s">
        <v>91</v>
      </c>
      <c r="J251" s="50" t="s">
        <v>286</v>
      </c>
      <c r="K251" s="50" t="s">
        <v>291</v>
      </c>
      <c r="L251" s="50" t="s">
        <v>286</v>
      </c>
      <c r="M251" s="50" t="s">
        <v>370</v>
      </c>
      <c r="N251" s="111">
        <v>5</v>
      </c>
      <c r="O251" s="111">
        <v>5</v>
      </c>
      <c r="P251" s="111">
        <v>5</v>
      </c>
      <c r="Q251" s="111">
        <v>5</v>
      </c>
      <c r="R251" s="111">
        <v>5</v>
      </c>
      <c r="S251" s="111">
        <v>6</v>
      </c>
      <c r="T251" s="111">
        <v>4</v>
      </c>
      <c r="U251" s="111">
        <v>5</v>
      </c>
      <c r="V251" s="111">
        <v>6</v>
      </c>
      <c r="W251" s="111">
        <v>6</v>
      </c>
      <c r="X251" s="111">
        <v>6</v>
      </c>
      <c r="Y251" s="111">
        <v>6</v>
      </c>
      <c r="Z251" s="111">
        <v>6</v>
      </c>
      <c r="AA251" s="111">
        <v>6</v>
      </c>
      <c r="AB251" s="111">
        <v>6</v>
      </c>
      <c r="AC251" s="111">
        <v>5</v>
      </c>
      <c r="AD251" s="111">
        <v>5</v>
      </c>
      <c r="AE251" s="111">
        <v>5</v>
      </c>
      <c r="AF251" s="111">
        <v>5</v>
      </c>
      <c r="AG251" s="111">
        <v>5</v>
      </c>
      <c r="AH251" s="111">
        <v>5</v>
      </c>
      <c r="AI251" s="111">
        <v>5</v>
      </c>
      <c r="AJ251" s="111">
        <v>5</v>
      </c>
      <c r="AK251" s="111">
        <v>5</v>
      </c>
      <c r="AL251" s="111">
        <v>5</v>
      </c>
      <c r="AM251" s="111">
        <v>5</v>
      </c>
      <c r="AN251" s="111">
        <v>5</v>
      </c>
      <c r="AO251" s="111">
        <v>5</v>
      </c>
      <c r="AP251" s="111">
        <v>5</v>
      </c>
      <c r="AQ251" s="111">
        <v>6</v>
      </c>
      <c r="AR251" s="111">
        <v>5</v>
      </c>
      <c r="AS251" s="111">
        <v>5</v>
      </c>
      <c r="AT251" s="111">
        <v>5</v>
      </c>
      <c r="AU251" s="111">
        <v>5</v>
      </c>
      <c r="AV251" s="50" t="s">
        <v>202</v>
      </c>
      <c r="AW251" s="50" t="s">
        <v>202</v>
      </c>
      <c r="AX251" s="50" t="s">
        <v>201</v>
      </c>
      <c r="AY251" s="50" t="s">
        <v>199</v>
      </c>
      <c r="AZ251" s="50" t="s">
        <v>202</v>
      </c>
      <c r="BA251" s="50" t="s">
        <v>200</v>
      </c>
      <c r="BB251" s="50" t="s">
        <v>202</v>
      </c>
      <c r="BC251" s="50" t="s">
        <v>202</v>
      </c>
      <c r="BD251" s="50" t="s">
        <v>202</v>
      </c>
      <c r="BE251" s="50" t="s">
        <v>200</v>
      </c>
      <c r="BF251" s="50" t="s">
        <v>201</v>
      </c>
      <c r="BG251" s="50" t="s">
        <v>202</v>
      </c>
      <c r="BH251" s="50" t="s">
        <v>200</v>
      </c>
      <c r="BI251" s="50" t="s">
        <v>202</v>
      </c>
      <c r="BJ251" s="50" t="s">
        <v>202</v>
      </c>
      <c r="BK251" s="50" t="s">
        <v>202</v>
      </c>
      <c r="BL251" s="50" t="s">
        <v>202</v>
      </c>
      <c r="BM251" s="50" t="s">
        <v>436</v>
      </c>
      <c r="BN251" s="50" t="s">
        <v>318</v>
      </c>
      <c r="BO251" s="50" t="s">
        <v>91</v>
      </c>
      <c r="BP251" s="50"/>
      <c r="BQ251" s="50" t="s">
        <v>287</v>
      </c>
      <c r="BR251" s="50" t="s">
        <v>372</v>
      </c>
      <c r="BS251" s="111">
        <v>5</v>
      </c>
      <c r="BT251" s="50" t="s">
        <v>286</v>
      </c>
      <c r="BU251" s="50" t="s">
        <v>348</v>
      </c>
      <c r="BV251" s="50" t="s">
        <v>288</v>
      </c>
      <c r="BW251" s="50" t="s">
        <v>350</v>
      </c>
      <c r="BX251" s="50" t="s">
        <v>387</v>
      </c>
      <c r="BY251" s="50" t="s">
        <v>288</v>
      </c>
      <c r="BZ251" s="50" t="s">
        <v>287</v>
      </c>
      <c r="CA251" s="50"/>
      <c r="CB251" s="50" t="s">
        <v>287</v>
      </c>
      <c r="CC251" s="50" t="s">
        <v>287</v>
      </c>
      <c r="CD251" s="50" t="s">
        <v>287</v>
      </c>
      <c r="CE251" s="50"/>
      <c r="CF251" s="50" t="s">
        <v>287</v>
      </c>
      <c r="CG251" s="50" t="s">
        <v>287</v>
      </c>
      <c r="CH251" s="50" t="s">
        <v>486</v>
      </c>
      <c r="CI251" s="50" t="s">
        <v>287</v>
      </c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</row>
    <row r="252" spans="1:97" ht="36.75" customHeight="1" thickBot="1">
      <c r="A252" s="49">
        <v>46090.589363425926</v>
      </c>
      <c r="B252" s="50" t="s">
        <v>40</v>
      </c>
      <c r="C252" s="50" t="s">
        <v>45</v>
      </c>
      <c r="D252" s="50" t="s">
        <v>374</v>
      </c>
      <c r="E252" s="50" t="s">
        <v>61</v>
      </c>
      <c r="F252" s="50" t="s">
        <v>286</v>
      </c>
      <c r="G252" s="50" t="s">
        <v>73</v>
      </c>
      <c r="H252" s="50" t="s">
        <v>313</v>
      </c>
      <c r="I252" s="50" t="s">
        <v>81</v>
      </c>
      <c r="J252" s="50" t="s">
        <v>286</v>
      </c>
      <c r="K252" s="50" t="s">
        <v>287</v>
      </c>
      <c r="L252" s="50" t="s">
        <v>336</v>
      </c>
      <c r="M252" s="50" t="s">
        <v>7</v>
      </c>
      <c r="N252" s="111">
        <v>5</v>
      </c>
      <c r="O252" s="111">
        <v>5</v>
      </c>
      <c r="P252" s="111">
        <v>5</v>
      </c>
      <c r="Q252" s="111">
        <v>5</v>
      </c>
      <c r="R252" s="111">
        <v>5</v>
      </c>
      <c r="S252" s="111">
        <v>5</v>
      </c>
      <c r="T252" s="111">
        <v>5</v>
      </c>
      <c r="U252" s="111">
        <v>5</v>
      </c>
      <c r="V252" s="111">
        <v>5</v>
      </c>
      <c r="W252" s="111">
        <v>5</v>
      </c>
      <c r="X252" s="111">
        <v>5</v>
      </c>
      <c r="Y252" s="111">
        <v>5</v>
      </c>
      <c r="Z252" s="111">
        <v>5</v>
      </c>
      <c r="AA252" s="111">
        <v>5</v>
      </c>
      <c r="AB252" s="111">
        <v>5</v>
      </c>
      <c r="AC252" s="111">
        <v>5</v>
      </c>
      <c r="AD252" s="111">
        <v>5</v>
      </c>
      <c r="AE252" s="111">
        <v>5</v>
      </c>
      <c r="AF252" s="111">
        <v>5</v>
      </c>
      <c r="AG252" s="111">
        <v>5</v>
      </c>
      <c r="AH252" s="111">
        <v>5</v>
      </c>
      <c r="AI252" s="111">
        <v>5</v>
      </c>
      <c r="AJ252" s="111">
        <v>5</v>
      </c>
      <c r="AK252" s="111">
        <v>5</v>
      </c>
      <c r="AL252" s="111">
        <v>5</v>
      </c>
      <c r="AM252" s="111">
        <v>5</v>
      </c>
      <c r="AN252" s="111">
        <v>5</v>
      </c>
      <c r="AO252" s="111">
        <v>5</v>
      </c>
      <c r="AP252" s="111">
        <v>5</v>
      </c>
      <c r="AQ252" s="111">
        <v>5</v>
      </c>
      <c r="AR252" s="111">
        <v>5</v>
      </c>
      <c r="AS252" s="111">
        <v>5</v>
      </c>
      <c r="AT252" s="111">
        <v>5</v>
      </c>
      <c r="AU252" s="111">
        <v>5</v>
      </c>
      <c r="AV252" s="50" t="s">
        <v>199</v>
      </c>
      <c r="AW252" s="50" t="s">
        <v>199</v>
      </c>
      <c r="AX252" s="50" t="s">
        <v>199</v>
      </c>
      <c r="AY252" s="50" t="s">
        <v>200</v>
      </c>
      <c r="AZ252" s="50" t="s">
        <v>200</v>
      </c>
      <c r="BA252" s="50" t="s">
        <v>200</v>
      </c>
      <c r="BB252" s="50" t="s">
        <v>200</v>
      </c>
      <c r="BC252" s="50" t="s">
        <v>200</v>
      </c>
      <c r="BD252" s="50" t="s">
        <v>200</v>
      </c>
      <c r="BE252" s="50" t="s">
        <v>200</v>
      </c>
      <c r="BF252" s="50" t="s">
        <v>200</v>
      </c>
      <c r="BG252" s="50" t="s">
        <v>200</v>
      </c>
      <c r="BH252" s="50" t="s">
        <v>200</v>
      </c>
      <c r="BI252" s="50" t="s">
        <v>200</v>
      </c>
      <c r="BJ252" s="50" t="s">
        <v>200</v>
      </c>
      <c r="BK252" s="50" t="s">
        <v>200</v>
      </c>
      <c r="BL252" s="50" t="s">
        <v>200</v>
      </c>
      <c r="BM252" s="50" t="s">
        <v>436</v>
      </c>
      <c r="BN252" s="50" t="s">
        <v>318</v>
      </c>
      <c r="BO252" s="50" t="s">
        <v>91</v>
      </c>
      <c r="BP252" s="50" t="s">
        <v>286</v>
      </c>
      <c r="BQ252" s="50" t="s">
        <v>287</v>
      </c>
      <c r="BR252" s="50" t="s">
        <v>305</v>
      </c>
      <c r="BS252" s="111">
        <v>4</v>
      </c>
      <c r="BT252" s="50" t="s">
        <v>286</v>
      </c>
      <c r="BU252" s="50" t="s">
        <v>312</v>
      </c>
      <c r="BV252" s="50" t="s">
        <v>288</v>
      </c>
      <c r="BW252" s="50" t="s">
        <v>289</v>
      </c>
      <c r="BX252" s="50" t="s">
        <v>296</v>
      </c>
      <c r="BY252" s="50" t="s">
        <v>288</v>
      </c>
      <c r="BZ252" s="50" t="s">
        <v>287</v>
      </c>
      <c r="CA252" s="50"/>
      <c r="CB252" s="50" t="s">
        <v>287</v>
      </c>
      <c r="CC252" s="50" t="s">
        <v>287</v>
      </c>
      <c r="CD252" s="50" t="s">
        <v>287</v>
      </c>
      <c r="CE252" s="50"/>
      <c r="CF252" s="50" t="s">
        <v>287</v>
      </c>
      <c r="CG252" s="50" t="s">
        <v>287</v>
      </c>
      <c r="CH252" s="50" t="s">
        <v>486</v>
      </c>
      <c r="CI252" s="50" t="s">
        <v>287</v>
      </c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</row>
    <row r="253" spans="1:97" ht="36.75" customHeight="1" thickBot="1">
      <c r="A253" s="49">
        <v>46090.593032407407</v>
      </c>
      <c r="B253" s="50" t="s">
        <v>39</v>
      </c>
      <c r="C253" s="50" t="s">
        <v>45</v>
      </c>
      <c r="D253" s="50" t="s">
        <v>369</v>
      </c>
      <c r="E253" s="50" t="s">
        <v>61</v>
      </c>
      <c r="F253" s="50" t="s">
        <v>286</v>
      </c>
      <c r="G253" s="50" t="s">
        <v>74</v>
      </c>
      <c r="H253" s="50" t="s">
        <v>365</v>
      </c>
      <c r="I253" s="50" t="s">
        <v>91</v>
      </c>
      <c r="J253" s="50" t="s">
        <v>286</v>
      </c>
      <c r="K253" s="50" t="s">
        <v>291</v>
      </c>
      <c r="L253" s="50" t="s">
        <v>286</v>
      </c>
      <c r="M253" s="50" t="s">
        <v>370</v>
      </c>
      <c r="N253" s="111">
        <v>6</v>
      </c>
      <c r="O253" s="111">
        <v>6</v>
      </c>
      <c r="P253" s="111">
        <v>6</v>
      </c>
      <c r="Q253" s="111">
        <v>6</v>
      </c>
      <c r="R253" s="111">
        <v>6</v>
      </c>
      <c r="S253" s="111">
        <v>7</v>
      </c>
      <c r="T253" s="111">
        <v>5</v>
      </c>
      <c r="U253" s="111">
        <v>5</v>
      </c>
      <c r="V253" s="111">
        <v>6</v>
      </c>
      <c r="W253" s="111">
        <v>6</v>
      </c>
      <c r="X253" s="111">
        <v>6</v>
      </c>
      <c r="Y253" s="111">
        <v>6</v>
      </c>
      <c r="Z253" s="111">
        <v>6</v>
      </c>
      <c r="AA253" s="111">
        <v>6</v>
      </c>
      <c r="AB253" s="111">
        <v>6</v>
      </c>
      <c r="AC253" s="111">
        <v>5</v>
      </c>
      <c r="AD253" s="111">
        <v>5</v>
      </c>
      <c r="AE253" s="111">
        <v>5</v>
      </c>
      <c r="AF253" s="111">
        <v>5</v>
      </c>
      <c r="AG253" s="111">
        <v>5</v>
      </c>
      <c r="AH253" s="111">
        <v>5</v>
      </c>
      <c r="AI253" s="111">
        <v>5</v>
      </c>
      <c r="AJ253" s="111">
        <v>5</v>
      </c>
      <c r="AK253" s="111">
        <v>5</v>
      </c>
      <c r="AL253" s="111">
        <v>5</v>
      </c>
      <c r="AM253" s="111">
        <v>5</v>
      </c>
      <c r="AN253" s="111">
        <v>5</v>
      </c>
      <c r="AO253" s="111">
        <v>5</v>
      </c>
      <c r="AP253" s="111">
        <v>5</v>
      </c>
      <c r="AQ253" s="111">
        <v>6</v>
      </c>
      <c r="AR253" s="111">
        <v>5</v>
      </c>
      <c r="AS253" s="111">
        <v>5</v>
      </c>
      <c r="AT253" s="111">
        <v>5</v>
      </c>
      <c r="AU253" s="111">
        <v>5</v>
      </c>
      <c r="AV253" s="50" t="s">
        <v>200</v>
      </c>
      <c r="AW253" s="50" t="s">
        <v>200</v>
      </c>
      <c r="AX253" s="50" t="s">
        <v>201</v>
      </c>
      <c r="AY253" s="50" t="s">
        <v>199</v>
      </c>
      <c r="AZ253" s="50" t="s">
        <v>202</v>
      </c>
      <c r="BA253" s="50" t="s">
        <v>202</v>
      </c>
      <c r="BB253" s="50" t="s">
        <v>202</v>
      </c>
      <c r="BC253" s="50" t="s">
        <v>202</v>
      </c>
      <c r="BD253" s="50" t="s">
        <v>202</v>
      </c>
      <c r="BE253" s="50" t="s">
        <v>200</v>
      </c>
      <c r="BF253" s="50" t="s">
        <v>201</v>
      </c>
      <c r="BG253" s="50" t="s">
        <v>202</v>
      </c>
      <c r="BH253" s="50" t="s">
        <v>201</v>
      </c>
      <c r="BI253" s="50" t="s">
        <v>202</v>
      </c>
      <c r="BJ253" s="50" t="s">
        <v>202</v>
      </c>
      <c r="BK253" s="50" t="s">
        <v>202</v>
      </c>
      <c r="BL253" s="50" t="s">
        <v>202</v>
      </c>
      <c r="BM253" s="50" t="s">
        <v>436</v>
      </c>
      <c r="BN253" s="50" t="s">
        <v>399</v>
      </c>
      <c r="BO253" s="50" t="s">
        <v>91</v>
      </c>
      <c r="BP253" s="50" t="s">
        <v>286</v>
      </c>
      <c r="BQ253" s="50" t="s">
        <v>287</v>
      </c>
      <c r="BR253" s="50" t="s">
        <v>393</v>
      </c>
      <c r="BS253" s="111">
        <v>5</v>
      </c>
      <c r="BT253" s="50" t="s">
        <v>286</v>
      </c>
      <c r="BU253" s="50" t="s">
        <v>348</v>
      </c>
      <c r="BV253" s="50" t="s">
        <v>288</v>
      </c>
      <c r="BW253" s="50" t="s">
        <v>350</v>
      </c>
      <c r="BX253" s="50" t="s">
        <v>387</v>
      </c>
      <c r="BY253" s="50" t="s">
        <v>288</v>
      </c>
      <c r="BZ253" s="50" t="s">
        <v>287</v>
      </c>
      <c r="CA253" s="50"/>
      <c r="CB253" s="50" t="s">
        <v>287</v>
      </c>
      <c r="CC253" s="50" t="s">
        <v>287</v>
      </c>
      <c r="CD253" s="50" t="s">
        <v>287</v>
      </c>
      <c r="CE253" s="50"/>
      <c r="CF253" s="50" t="s">
        <v>287</v>
      </c>
      <c r="CG253" s="50" t="s">
        <v>287</v>
      </c>
      <c r="CH253" s="50" t="s">
        <v>486</v>
      </c>
      <c r="CI253" s="50" t="s">
        <v>287</v>
      </c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</row>
    <row r="254" spans="1:97" ht="36.75" customHeight="1" thickBot="1">
      <c r="A254" s="49">
        <v>46090.595439814817</v>
      </c>
      <c r="B254" s="50" t="s">
        <v>39</v>
      </c>
      <c r="C254" s="50" t="s">
        <v>46</v>
      </c>
      <c r="D254" s="50" t="s">
        <v>374</v>
      </c>
      <c r="E254" s="50" t="s">
        <v>61</v>
      </c>
      <c r="F254" s="50" t="s">
        <v>286</v>
      </c>
      <c r="G254" s="50" t="s">
        <v>292</v>
      </c>
      <c r="H254" s="50" t="s">
        <v>457</v>
      </c>
      <c r="I254" s="50" t="s">
        <v>91</v>
      </c>
      <c r="J254" s="50" t="s">
        <v>286</v>
      </c>
      <c r="K254" s="50" t="s">
        <v>287</v>
      </c>
      <c r="L254" s="50" t="s">
        <v>286</v>
      </c>
      <c r="M254" s="50" t="s">
        <v>370</v>
      </c>
      <c r="N254" s="111">
        <v>5</v>
      </c>
      <c r="O254" s="111">
        <v>5</v>
      </c>
      <c r="P254" s="111">
        <v>5</v>
      </c>
      <c r="Q254" s="111">
        <v>5</v>
      </c>
      <c r="R254" s="111">
        <v>5</v>
      </c>
      <c r="S254" s="111">
        <v>6</v>
      </c>
      <c r="T254" s="111">
        <v>5</v>
      </c>
      <c r="U254" s="111">
        <v>5</v>
      </c>
      <c r="V254" s="111">
        <v>6</v>
      </c>
      <c r="W254" s="111">
        <v>6</v>
      </c>
      <c r="X254" s="111">
        <v>6</v>
      </c>
      <c r="Y254" s="111">
        <v>6</v>
      </c>
      <c r="Z254" s="111">
        <v>6</v>
      </c>
      <c r="AA254" s="111">
        <v>6</v>
      </c>
      <c r="AB254" s="111">
        <v>6</v>
      </c>
      <c r="AC254" s="111">
        <v>5</v>
      </c>
      <c r="AD254" s="111">
        <v>5</v>
      </c>
      <c r="AE254" s="111">
        <v>5</v>
      </c>
      <c r="AF254" s="111">
        <v>5</v>
      </c>
      <c r="AG254" s="111">
        <v>5</v>
      </c>
      <c r="AH254" s="111">
        <v>5</v>
      </c>
      <c r="AI254" s="111">
        <v>5</v>
      </c>
      <c r="AJ254" s="111">
        <v>5</v>
      </c>
      <c r="AK254" s="111">
        <v>4</v>
      </c>
      <c r="AL254" s="111">
        <v>5</v>
      </c>
      <c r="AM254" s="111">
        <v>5</v>
      </c>
      <c r="AN254" s="111">
        <v>5</v>
      </c>
      <c r="AO254" s="111">
        <v>5</v>
      </c>
      <c r="AP254" s="111">
        <v>5</v>
      </c>
      <c r="AQ254" s="111">
        <v>6</v>
      </c>
      <c r="AR254" s="111">
        <v>5</v>
      </c>
      <c r="AS254" s="111">
        <v>5</v>
      </c>
      <c r="AT254" s="111">
        <v>5</v>
      </c>
      <c r="AU254" s="111">
        <v>5</v>
      </c>
      <c r="AV254" s="50" t="s">
        <v>202</v>
      </c>
      <c r="AW254" s="50" t="s">
        <v>202</v>
      </c>
      <c r="AX254" s="50" t="s">
        <v>201</v>
      </c>
      <c r="AY254" s="50" t="s">
        <v>199</v>
      </c>
      <c r="AZ254" s="50" t="s">
        <v>202</v>
      </c>
      <c r="BA254" s="50" t="s">
        <v>200</v>
      </c>
      <c r="BB254" s="50" t="s">
        <v>202</v>
      </c>
      <c r="BC254" s="50" t="s">
        <v>202</v>
      </c>
      <c r="BD254" s="50" t="s">
        <v>202</v>
      </c>
      <c r="BE254" s="50" t="s">
        <v>202</v>
      </c>
      <c r="BF254" s="50" t="s">
        <v>201</v>
      </c>
      <c r="BG254" s="50" t="s">
        <v>202</v>
      </c>
      <c r="BH254" s="50" t="s">
        <v>201</v>
      </c>
      <c r="BI254" s="50" t="s">
        <v>202</v>
      </c>
      <c r="BJ254" s="50" t="s">
        <v>202</v>
      </c>
      <c r="BK254" s="50" t="s">
        <v>202</v>
      </c>
      <c r="BL254" s="50" t="s">
        <v>202</v>
      </c>
      <c r="BM254" s="50" t="s">
        <v>436</v>
      </c>
      <c r="BN254" s="50" t="s">
        <v>460</v>
      </c>
      <c r="BO254" s="50" t="s">
        <v>91</v>
      </c>
      <c r="BP254" s="50" t="s">
        <v>286</v>
      </c>
      <c r="BQ254" s="50" t="s">
        <v>287</v>
      </c>
      <c r="BR254" s="50" t="s">
        <v>559</v>
      </c>
      <c r="BS254" s="111">
        <v>5</v>
      </c>
      <c r="BT254" s="50" t="s">
        <v>286</v>
      </c>
      <c r="BU254" s="50" t="s">
        <v>348</v>
      </c>
      <c r="BV254" s="50" t="s">
        <v>288</v>
      </c>
      <c r="BW254" s="50" t="s">
        <v>350</v>
      </c>
      <c r="BX254" s="50" t="s">
        <v>387</v>
      </c>
      <c r="BY254" s="50" t="s">
        <v>288</v>
      </c>
      <c r="BZ254" s="50" t="s">
        <v>287</v>
      </c>
      <c r="CA254" s="50"/>
      <c r="CB254" s="50" t="s">
        <v>287</v>
      </c>
      <c r="CC254" s="50" t="s">
        <v>287</v>
      </c>
      <c r="CD254" s="50" t="s">
        <v>287</v>
      </c>
      <c r="CE254" s="50"/>
      <c r="CF254" s="50" t="s">
        <v>287</v>
      </c>
      <c r="CG254" s="50" t="s">
        <v>287</v>
      </c>
      <c r="CH254" s="50" t="s">
        <v>486</v>
      </c>
      <c r="CI254" s="50" t="s">
        <v>287</v>
      </c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</row>
    <row r="255" spans="1:97" ht="36.75" customHeight="1" thickBot="1">
      <c r="A255" s="49">
        <v>46090.646087962959</v>
      </c>
      <c r="B255" s="50" t="s">
        <v>40</v>
      </c>
      <c r="C255" s="50" t="s">
        <v>46</v>
      </c>
      <c r="D255" s="50" t="s">
        <v>374</v>
      </c>
      <c r="E255" s="50" t="s">
        <v>61</v>
      </c>
      <c r="F255" s="50" t="s">
        <v>286</v>
      </c>
      <c r="G255" s="50" t="s">
        <v>73</v>
      </c>
      <c r="H255" s="50" t="s">
        <v>298</v>
      </c>
      <c r="I255" s="50" t="s">
        <v>91</v>
      </c>
      <c r="J255" s="50" t="s">
        <v>286</v>
      </c>
      <c r="K255" s="50" t="s">
        <v>291</v>
      </c>
      <c r="L255" s="50" t="s">
        <v>286</v>
      </c>
      <c r="M255" s="50" t="s">
        <v>370</v>
      </c>
      <c r="N255" s="111">
        <v>5</v>
      </c>
      <c r="O255" s="111">
        <v>5</v>
      </c>
      <c r="P255" s="111">
        <v>5</v>
      </c>
      <c r="Q255" s="111">
        <v>5</v>
      </c>
      <c r="R255" s="111">
        <v>5</v>
      </c>
      <c r="S255" s="111">
        <v>6</v>
      </c>
      <c r="T255" s="111">
        <v>5</v>
      </c>
      <c r="U255" s="111">
        <v>5</v>
      </c>
      <c r="V255" s="111">
        <v>6</v>
      </c>
      <c r="W255" s="111">
        <v>6</v>
      </c>
      <c r="X255" s="111">
        <v>6</v>
      </c>
      <c r="Y255" s="111">
        <v>6</v>
      </c>
      <c r="Z255" s="111">
        <v>6</v>
      </c>
      <c r="AA255" s="111">
        <v>6</v>
      </c>
      <c r="AB255" s="111">
        <v>6</v>
      </c>
      <c r="AC255" s="111">
        <v>5</v>
      </c>
      <c r="AD255" s="111">
        <v>5</v>
      </c>
      <c r="AE255" s="111">
        <v>5</v>
      </c>
      <c r="AF255" s="111">
        <v>5</v>
      </c>
      <c r="AG255" s="111">
        <v>5</v>
      </c>
      <c r="AH255" s="111">
        <v>5</v>
      </c>
      <c r="AI255" s="111">
        <v>5</v>
      </c>
      <c r="AJ255" s="111">
        <v>5</v>
      </c>
      <c r="AK255" s="111">
        <v>5</v>
      </c>
      <c r="AL255" s="111">
        <v>5</v>
      </c>
      <c r="AM255" s="111">
        <v>5</v>
      </c>
      <c r="AN255" s="111">
        <v>5</v>
      </c>
      <c r="AO255" s="111">
        <v>5</v>
      </c>
      <c r="AP255" s="111">
        <v>5</v>
      </c>
      <c r="AQ255" s="111">
        <v>6</v>
      </c>
      <c r="AR255" s="111">
        <v>5</v>
      </c>
      <c r="AS255" s="111">
        <v>5</v>
      </c>
      <c r="AT255" s="111">
        <v>5</v>
      </c>
      <c r="AU255" s="111">
        <v>5</v>
      </c>
      <c r="AV255" s="50" t="s">
        <v>202</v>
      </c>
      <c r="AW255" s="50" t="s">
        <v>202</v>
      </c>
      <c r="AX255" s="50" t="s">
        <v>201</v>
      </c>
      <c r="AY255" s="50" t="s">
        <v>199</v>
      </c>
      <c r="AZ255" s="50" t="s">
        <v>202</v>
      </c>
      <c r="BA255" s="50" t="s">
        <v>200</v>
      </c>
      <c r="BB255" s="50" t="s">
        <v>202</v>
      </c>
      <c r="BC255" s="50" t="s">
        <v>202</v>
      </c>
      <c r="BD255" s="50" t="s">
        <v>202</v>
      </c>
      <c r="BE255" s="50" t="s">
        <v>202</v>
      </c>
      <c r="BF255" s="50" t="s">
        <v>201</v>
      </c>
      <c r="BG255" s="50" t="s">
        <v>202</v>
      </c>
      <c r="BH255" s="50" t="s">
        <v>201</v>
      </c>
      <c r="BI255" s="50" t="s">
        <v>202</v>
      </c>
      <c r="BJ255" s="50" t="s">
        <v>202</v>
      </c>
      <c r="BK255" s="50" t="s">
        <v>202</v>
      </c>
      <c r="BL255" s="50" t="s">
        <v>202</v>
      </c>
      <c r="BM255" s="50" t="s">
        <v>436</v>
      </c>
      <c r="BN255" s="50" t="s">
        <v>318</v>
      </c>
      <c r="BO255" s="50" t="s">
        <v>91</v>
      </c>
      <c r="BP255" s="50" t="s">
        <v>286</v>
      </c>
      <c r="BQ255" s="50" t="s">
        <v>287</v>
      </c>
      <c r="BR255" s="50" t="s">
        <v>372</v>
      </c>
      <c r="BS255" s="111">
        <v>5</v>
      </c>
      <c r="BT255" s="50" t="s">
        <v>286</v>
      </c>
      <c r="BU255" s="50" t="s">
        <v>348</v>
      </c>
      <c r="BV255" s="50" t="s">
        <v>288</v>
      </c>
      <c r="BW255" s="50" t="s">
        <v>350</v>
      </c>
      <c r="BX255" s="50" t="s">
        <v>387</v>
      </c>
      <c r="BY255" s="50" t="s">
        <v>288</v>
      </c>
      <c r="BZ255" s="50" t="s">
        <v>287</v>
      </c>
      <c r="CA255" s="50"/>
      <c r="CB255" s="50" t="s">
        <v>287</v>
      </c>
      <c r="CC255" s="50" t="s">
        <v>287</v>
      </c>
      <c r="CD255" s="50" t="s">
        <v>287</v>
      </c>
      <c r="CE255" s="50"/>
      <c r="CF255" s="50" t="s">
        <v>287</v>
      </c>
      <c r="CG255" s="50" t="s">
        <v>287</v>
      </c>
      <c r="CH255" s="50" t="s">
        <v>486</v>
      </c>
      <c r="CI255" s="50" t="s">
        <v>287</v>
      </c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</row>
    <row r="256" spans="1:97" ht="36.75" customHeight="1" thickBot="1">
      <c r="A256" s="49">
        <v>46090.648645833331</v>
      </c>
      <c r="B256" s="50" t="s">
        <v>39</v>
      </c>
      <c r="C256" s="50" t="s">
        <v>45</v>
      </c>
      <c r="D256" s="50" t="s">
        <v>374</v>
      </c>
      <c r="E256" s="50" t="s">
        <v>61</v>
      </c>
      <c r="F256" s="50" t="s">
        <v>375</v>
      </c>
      <c r="G256" s="50" t="s">
        <v>74</v>
      </c>
      <c r="H256" s="50" t="s">
        <v>429</v>
      </c>
      <c r="I256" s="50" t="s">
        <v>91</v>
      </c>
      <c r="J256" s="50" t="s">
        <v>286</v>
      </c>
      <c r="K256" s="50" t="s">
        <v>291</v>
      </c>
      <c r="L256" s="50" t="s">
        <v>286</v>
      </c>
      <c r="M256" s="50" t="s">
        <v>370</v>
      </c>
      <c r="N256" s="111">
        <v>5</v>
      </c>
      <c r="O256" s="111">
        <v>5</v>
      </c>
      <c r="P256" s="111">
        <v>5</v>
      </c>
      <c r="Q256" s="111">
        <v>5</v>
      </c>
      <c r="R256" s="111">
        <v>6</v>
      </c>
      <c r="S256" s="111">
        <v>6</v>
      </c>
      <c r="T256" s="111">
        <v>5</v>
      </c>
      <c r="U256" s="111">
        <v>5</v>
      </c>
      <c r="V256" s="111">
        <v>6</v>
      </c>
      <c r="W256" s="111">
        <v>6</v>
      </c>
      <c r="X256" s="111">
        <v>6</v>
      </c>
      <c r="Y256" s="111">
        <v>6</v>
      </c>
      <c r="Z256" s="111">
        <v>6</v>
      </c>
      <c r="AA256" s="111">
        <v>6</v>
      </c>
      <c r="AB256" s="111">
        <v>6</v>
      </c>
      <c r="AC256" s="111">
        <v>5</v>
      </c>
      <c r="AD256" s="111">
        <v>5</v>
      </c>
      <c r="AE256" s="111">
        <v>5</v>
      </c>
      <c r="AF256" s="111">
        <v>5</v>
      </c>
      <c r="AG256" s="111">
        <v>5</v>
      </c>
      <c r="AH256" s="111">
        <v>5</v>
      </c>
      <c r="AI256" s="111">
        <v>5</v>
      </c>
      <c r="AJ256" s="111">
        <v>5</v>
      </c>
      <c r="AK256" s="111">
        <v>5</v>
      </c>
      <c r="AL256" s="111">
        <v>5</v>
      </c>
      <c r="AM256" s="111">
        <v>5</v>
      </c>
      <c r="AN256" s="111">
        <v>5</v>
      </c>
      <c r="AO256" s="111">
        <v>5</v>
      </c>
      <c r="AP256" s="111">
        <v>5</v>
      </c>
      <c r="AQ256" s="111">
        <v>6</v>
      </c>
      <c r="AR256" s="111">
        <v>5</v>
      </c>
      <c r="AS256" s="111">
        <v>5</v>
      </c>
      <c r="AT256" s="111">
        <v>5</v>
      </c>
      <c r="AU256" s="111">
        <v>5</v>
      </c>
      <c r="AV256" s="50" t="s">
        <v>202</v>
      </c>
      <c r="AW256" s="50" t="s">
        <v>202</v>
      </c>
      <c r="AX256" s="50" t="s">
        <v>201</v>
      </c>
      <c r="AY256" s="50" t="s">
        <v>199</v>
      </c>
      <c r="AZ256" s="50" t="s">
        <v>202</v>
      </c>
      <c r="BA256" s="50" t="s">
        <v>199</v>
      </c>
      <c r="BB256" s="50" t="s">
        <v>202</v>
      </c>
      <c r="BC256" s="50" t="s">
        <v>202</v>
      </c>
      <c r="BD256" s="50" t="s">
        <v>202</v>
      </c>
      <c r="BE256" s="50" t="s">
        <v>199</v>
      </c>
      <c r="BF256" s="50" t="s">
        <v>201</v>
      </c>
      <c r="BG256" s="50" t="s">
        <v>202</v>
      </c>
      <c r="BH256" s="50" t="s">
        <v>200</v>
      </c>
      <c r="BI256" s="50" t="s">
        <v>202</v>
      </c>
      <c r="BJ256" s="50" t="s">
        <v>202</v>
      </c>
      <c r="BK256" s="50" t="s">
        <v>202</v>
      </c>
      <c r="BL256" s="50" t="s">
        <v>202</v>
      </c>
      <c r="BM256" s="50" t="s">
        <v>436</v>
      </c>
      <c r="BN256" s="50" t="s">
        <v>435</v>
      </c>
      <c r="BO256" s="50" t="s">
        <v>91</v>
      </c>
      <c r="BP256" s="50" t="s">
        <v>286</v>
      </c>
      <c r="BQ256" s="50" t="s">
        <v>287</v>
      </c>
      <c r="BR256" s="50" t="s">
        <v>372</v>
      </c>
      <c r="BS256" s="111">
        <v>5</v>
      </c>
      <c r="BT256" s="50" t="s">
        <v>286</v>
      </c>
      <c r="BU256" s="50" t="s">
        <v>348</v>
      </c>
      <c r="BV256" s="50" t="s">
        <v>288</v>
      </c>
      <c r="BW256" s="50" t="s">
        <v>350</v>
      </c>
      <c r="BX256" s="50" t="s">
        <v>387</v>
      </c>
      <c r="BY256" s="50" t="s">
        <v>288</v>
      </c>
      <c r="BZ256" s="50" t="s">
        <v>287</v>
      </c>
      <c r="CA256" s="50"/>
      <c r="CB256" s="50" t="s">
        <v>287</v>
      </c>
      <c r="CC256" s="50" t="s">
        <v>287</v>
      </c>
      <c r="CD256" s="50" t="s">
        <v>287</v>
      </c>
      <c r="CE256" s="50"/>
      <c r="CF256" s="50" t="s">
        <v>287</v>
      </c>
      <c r="CG256" s="50" t="s">
        <v>287</v>
      </c>
      <c r="CH256" s="50" t="s">
        <v>486</v>
      </c>
      <c r="CI256" s="50" t="s">
        <v>287</v>
      </c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</row>
    <row r="257" spans="1:97" ht="36.75" customHeight="1" thickBot="1">
      <c r="A257" s="49">
        <v>46091.359953703701</v>
      </c>
      <c r="B257" s="50" t="s">
        <v>40</v>
      </c>
      <c r="C257" s="50" t="s">
        <v>45</v>
      </c>
      <c r="D257" s="50" t="s">
        <v>374</v>
      </c>
      <c r="E257" s="50" t="s">
        <v>61</v>
      </c>
      <c r="F257" s="50" t="s">
        <v>286</v>
      </c>
      <c r="G257" s="50" t="s">
        <v>292</v>
      </c>
      <c r="H257" s="50" t="s">
        <v>330</v>
      </c>
      <c r="I257" s="50" t="s">
        <v>81</v>
      </c>
      <c r="J257" s="50" t="s">
        <v>286</v>
      </c>
      <c r="K257" s="50" t="s">
        <v>287</v>
      </c>
      <c r="L257" s="50" t="s">
        <v>336</v>
      </c>
      <c r="M257" s="50" t="s">
        <v>319</v>
      </c>
      <c r="N257" s="111">
        <v>5</v>
      </c>
      <c r="O257" s="111">
        <v>5</v>
      </c>
      <c r="P257" s="111">
        <v>5</v>
      </c>
      <c r="Q257" s="111">
        <v>5</v>
      </c>
      <c r="R257" s="111">
        <v>5</v>
      </c>
      <c r="S257" s="111">
        <v>5</v>
      </c>
      <c r="T257" s="111">
        <v>5</v>
      </c>
      <c r="U257" s="111">
        <v>5</v>
      </c>
      <c r="V257" s="111">
        <v>5</v>
      </c>
      <c r="W257" s="111">
        <v>5</v>
      </c>
      <c r="X257" s="111">
        <v>5</v>
      </c>
      <c r="Y257" s="111">
        <v>5</v>
      </c>
      <c r="Z257" s="111">
        <v>5</v>
      </c>
      <c r="AA257" s="111">
        <v>5</v>
      </c>
      <c r="AB257" s="111">
        <v>5</v>
      </c>
      <c r="AC257" s="111">
        <v>5</v>
      </c>
      <c r="AD257" s="111">
        <v>5</v>
      </c>
      <c r="AE257" s="111">
        <v>5</v>
      </c>
      <c r="AF257" s="111">
        <v>5</v>
      </c>
      <c r="AG257" s="111">
        <v>5</v>
      </c>
      <c r="AH257" s="111">
        <v>5</v>
      </c>
      <c r="AI257" s="111">
        <v>5</v>
      </c>
      <c r="AJ257" s="111">
        <v>5</v>
      </c>
      <c r="AK257" s="111">
        <v>5</v>
      </c>
      <c r="AL257" s="111">
        <v>5</v>
      </c>
      <c r="AM257" s="111">
        <v>5</v>
      </c>
      <c r="AN257" s="111">
        <v>5</v>
      </c>
      <c r="AO257" s="111">
        <v>5</v>
      </c>
      <c r="AP257" s="111">
        <v>5</v>
      </c>
      <c r="AQ257" s="111">
        <v>5</v>
      </c>
      <c r="AR257" s="111">
        <v>5</v>
      </c>
      <c r="AS257" s="111">
        <v>5</v>
      </c>
      <c r="AT257" s="111">
        <v>5</v>
      </c>
      <c r="AU257" s="111">
        <v>5</v>
      </c>
      <c r="AV257" s="50" t="s">
        <v>199</v>
      </c>
      <c r="AW257" s="50" t="s">
        <v>199</v>
      </c>
      <c r="AX257" s="50" t="s">
        <v>199</v>
      </c>
      <c r="AY257" s="50" t="s">
        <v>200</v>
      </c>
      <c r="AZ257" s="50" t="s">
        <v>200</v>
      </c>
      <c r="BA257" s="50" t="s">
        <v>200</v>
      </c>
      <c r="BB257" s="50" t="s">
        <v>200</v>
      </c>
      <c r="BC257" s="50" t="s">
        <v>200</v>
      </c>
      <c r="BD257" s="50" t="s">
        <v>200</v>
      </c>
      <c r="BE257" s="50" t="s">
        <v>200</v>
      </c>
      <c r="BF257" s="50" t="s">
        <v>200</v>
      </c>
      <c r="BG257" s="50" t="s">
        <v>200</v>
      </c>
      <c r="BH257" s="50" t="s">
        <v>200</v>
      </c>
      <c r="BI257" s="50" t="s">
        <v>200</v>
      </c>
      <c r="BJ257" s="50" t="s">
        <v>200</v>
      </c>
      <c r="BK257" s="50" t="s">
        <v>200</v>
      </c>
      <c r="BL257" s="50" t="s">
        <v>200</v>
      </c>
      <c r="BM257" s="50" t="s">
        <v>436</v>
      </c>
      <c r="BN257" s="50" t="s">
        <v>318</v>
      </c>
      <c r="BO257" s="50" t="s">
        <v>91</v>
      </c>
      <c r="BP257" s="50" t="s">
        <v>286</v>
      </c>
      <c r="BQ257" s="50" t="s">
        <v>287</v>
      </c>
      <c r="BR257" s="50" t="s">
        <v>403</v>
      </c>
      <c r="BS257" s="111">
        <v>5</v>
      </c>
      <c r="BT257" s="50" t="s">
        <v>286</v>
      </c>
      <c r="BU257" s="50" t="s">
        <v>312</v>
      </c>
      <c r="BV257" s="50" t="s">
        <v>288</v>
      </c>
      <c r="BW257" s="50" t="s">
        <v>289</v>
      </c>
      <c r="BX257" s="50" t="s">
        <v>296</v>
      </c>
      <c r="BY257" s="50" t="s">
        <v>288</v>
      </c>
      <c r="BZ257" s="50" t="s">
        <v>287</v>
      </c>
      <c r="CA257" s="50"/>
      <c r="CB257" s="50" t="s">
        <v>287</v>
      </c>
      <c r="CC257" s="50" t="s">
        <v>287</v>
      </c>
      <c r="CD257" s="50" t="s">
        <v>287</v>
      </c>
      <c r="CE257" s="50"/>
      <c r="CF257" s="50" t="s">
        <v>287</v>
      </c>
      <c r="CG257" s="50" t="s">
        <v>287</v>
      </c>
      <c r="CH257" s="50" t="s">
        <v>486</v>
      </c>
      <c r="CI257" s="50" t="s">
        <v>287</v>
      </c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</row>
    <row r="258" spans="1:97" ht="36.75" customHeight="1" thickBot="1">
      <c r="A258" s="49">
        <v>46091.361666666664</v>
      </c>
      <c r="B258" s="50" t="s">
        <v>40</v>
      </c>
      <c r="C258" s="50" t="s">
        <v>45</v>
      </c>
      <c r="D258" s="50" t="s">
        <v>374</v>
      </c>
      <c r="E258" s="50" t="s">
        <v>61</v>
      </c>
      <c r="F258" s="50" t="s">
        <v>286</v>
      </c>
      <c r="G258" s="50" t="s">
        <v>73</v>
      </c>
      <c r="H258" s="50" t="s">
        <v>472</v>
      </c>
      <c r="I258" s="50" t="s">
        <v>81</v>
      </c>
      <c r="J258" s="50" t="s">
        <v>286</v>
      </c>
      <c r="K258" s="50" t="s">
        <v>287</v>
      </c>
      <c r="L258" s="50" t="s">
        <v>336</v>
      </c>
      <c r="M258" s="50" t="s">
        <v>319</v>
      </c>
      <c r="N258" s="111">
        <v>5</v>
      </c>
      <c r="O258" s="111">
        <v>5</v>
      </c>
      <c r="P258" s="111">
        <v>5</v>
      </c>
      <c r="Q258" s="111">
        <v>5</v>
      </c>
      <c r="R258" s="111">
        <v>5</v>
      </c>
      <c r="S258" s="111">
        <v>5</v>
      </c>
      <c r="T258" s="111">
        <v>5</v>
      </c>
      <c r="U258" s="111">
        <v>5</v>
      </c>
      <c r="V258" s="111">
        <v>5</v>
      </c>
      <c r="W258" s="111">
        <v>5</v>
      </c>
      <c r="X258" s="111">
        <v>5</v>
      </c>
      <c r="Y258" s="111">
        <v>5</v>
      </c>
      <c r="Z258" s="111">
        <v>5</v>
      </c>
      <c r="AA258" s="111">
        <v>5</v>
      </c>
      <c r="AB258" s="111">
        <v>5</v>
      </c>
      <c r="AC258" s="111">
        <v>5</v>
      </c>
      <c r="AD258" s="111">
        <v>5</v>
      </c>
      <c r="AE258" s="111">
        <v>5</v>
      </c>
      <c r="AF258" s="111">
        <v>5</v>
      </c>
      <c r="AG258" s="111">
        <v>5</v>
      </c>
      <c r="AH258" s="111">
        <v>5</v>
      </c>
      <c r="AI258" s="111">
        <v>5</v>
      </c>
      <c r="AJ258" s="111">
        <v>5</v>
      </c>
      <c r="AK258" s="111">
        <v>5</v>
      </c>
      <c r="AL258" s="111">
        <v>5</v>
      </c>
      <c r="AM258" s="111">
        <v>5</v>
      </c>
      <c r="AN258" s="111">
        <v>5</v>
      </c>
      <c r="AO258" s="111">
        <v>5</v>
      </c>
      <c r="AP258" s="111">
        <v>5</v>
      </c>
      <c r="AQ258" s="111">
        <v>5</v>
      </c>
      <c r="AR258" s="111">
        <v>5</v>
      </c>
      <c r="AS258" s="111">
        <v>5</v>
      </c>
      <c r="AT258" s="111">
        <v>5</v>
      </c>
      <c r="AU258" s="111">
        <v>5</v>
      </c>
      <c r="AV258" s="50" t="s">
        <v>199</v>
      </c>
      <c r="AW258" s="50" t="s">
        <v>199</v>
      </c>
      <c r="AX258" s="50" t="s">
        <v>199</v>
      </c>
      <c r="AY258" s="50" t="s">
        <v>200</v>
      </c>
      <c r="AZ258" s="50" t="s">
        <v>200</v>
      </c>
      <c r="BA258" s="50" t="s">
        <v>200</v>
      </c>
      <c r="BB258" s="50" t="s">
        <v>200</v>
      </c>
      <c r="BC258" s="50" t="s">
        <v>200</v>
      </c>
      <c r="BD258" s="50" t="s">
        <v>200</v>
      </c>
      <c r="BE258" s="50" t="s">
        <v>200</v>
      </c>
      <c r="BF258" s="50" t="s">
        <v>200</v>
      </c>
      <c r="BG258" s="50" t="s">
        <v>200</v>
      </c>
      <c r="BH258" s="50" t="s">
        <v>200</v>
      </c>
      <c r="BI258" s="50" t="s">
        <v>200</v>
      </c>
      <c r="BJ258" s="50" t="s">
        <v>200</v>
      </c>
      <c r="BK258" s="50" t="s">
        <v>200</v>
      </c>
      <c r="BL258" s="50" t="s">
        <v>200</v>
      </c>
      <c r="BM258" s="50" t="s">
        <v>436</v>
      </c>
      <c r="BN258" s="50" t="s">
        <v>318</v>
      </c>
      <c r="BO258" s="50" t="s">
        <v>91</v>
      </c>
      <c r="BP258" s="50" t="s">
        <v>286</v>
      </c>
      <c r="BQ258" s="50" t="s">
        <v>287</v>
      </c>
      <c r="BR258" s="50" t="s">
        <v>382</v>
      </c>
      <c r="BS258" s="111">
        <v>5</v>
      </c>
      <c r="BT258" s="50" t="s">
        <v>286</v>
      </c>
      <c r="BU258" s="50" t="s">
        <v>312</v>
      </c>
      <c r="BV258" s="50" t="s">
        <v>288</v>
      </c>
      <c r="BW258" s="50" t="s">
        <v>293</v>
      </c>
      <c r="BX258" s="50" t="s">
        <v>290</v>
      </c>
      <c r="BY258" s="50" t="s">
        <v>288</v>
      </c>
      <c r="BZ258" s="50" t="s">
        <v>287</v>
      </c>
      <c r="CA258" s="50"/>
      <c r="CB258" s="50" t="s">
        <v>287</v>
      </c>
      <c r="CC258" s="50" t="s">
        <v>287</v>
      </c>
      <c r="CD258" s="50" t="s">
        <v>287</v>
      </c>
      <c r="CE258" s="50"/>
      <c r="CF258" s="50" t="s">
        <v>287</v>
      </c>
      <c r="CG258" s="50" t="s">
        <v>287</v>
      </c>
      <c r="CH258" s="50" t="s">
        <v>486</v>
      </c>
      <c r="CI258" s="50" t="s">
        <v>287</v>
      </c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</row>
    <row r="259" spans="1:97" ht="36.75" customHeight="1" thickBot="1">
      <c r="A259" s="49">
        <v>46091.365104166667</v>
      </c>
      <c r="B259" s="50" t="s">
        <v>40</v>
      </c>
      <c r="C259" s="50" t="s">
        <v>46</v>
      </c>
      <c r="D259" s="50" t="s">
        <v>374</v>
      </c>
      <c r="E259" s="50" t="s">
        <v>60</v>
      </c>
      <c r="F259" s="50" t="s">
        <v>286</v>
      </c>
      <c r="G259" s="50" t="s">
        <v>73</v>
      </c>
      <c r="H259" s="50" t="s">
        <v>314</v>
      </c>
      <c r="I259" s="50" t="s">
        <v>81</v>
      </c>
      <c r="J259" s="50" t="s">
        <v>286</v>
      </c>
      <c r="K259" s="50" t="s">
        <v>287</v>
      </c>
      <c r="L259" s="50" t="s">
        <v>336</v>
      </c>
      <c r="M259" s="50" t="s">
        <v>319</v>
      </c>
      <c r="N259" s="111">
        <v>5</v>
      </c>
      <c r="O259" s="111">
        <v>5</v>
      </c>
      <c r="P259" s="111">
        <v>5</v>
      </c>
      <c r="Q259" s="111">
        <v>5</v>
      </c>
      <c r="R259" s="111">
        <v>5</v>
      </c>
      <c r="S259" s="111">
        <v>5</v>
      </c>
      <c r="T259" s="111">
        <v>5</v>
      </c>
      <c r="U259" s="111">
        <v>5</v>
      </c>
      <c r="V259" s="111">
        <v>5</v>
      </c>
      <c r="W259" s="111">
        <v>5</v>
      </c>
      <c r="X259" s="111">
        <v>5</v>
      </c>
      <c r="Y259" s="111">
        <v>5</v>
      </c>
      <c r="Z259" s="111">
        <v>5</v>
      </c>
      <c r="AA259" s="111">
        <v>5</v>
      </c>
      <c r="AB259" s="111">
        <v>5</v>
      </c>
      <c r="AC259" s="111">
        <v>5</v>
      </c>
      <c r="AD259" s="111">
        <v>5</v>
      </c>
      <c r="AE259" s="111">
        <v>5</v>
      </c>
      <c r="AF259" s="111">
        <v>5</v>
      </c>
      <c r="AG259" s="111">
        <v>5</v>
      </c>
      <c r="AH259" s="111">
        <v>5</v>
      </c>
      <c r="AI259" s="111">
        <v>5</v>
      </c>
      <c r="AJ259" s="111">
        <v>5</v>
      </c>
      <c r="AK259" s="111">
        <v>5</v>
      </c>
      <c r="AL259" s="111">
        <v>5</v>
      </c>
      <c r="AM259" s="111">
        <v>5</v>
      </c>
      <c r="AN259" s="111">
        <v>5</v>
      </c>
      <c r="AO259" s="111">
        <v>5</v>
      </c>
      <c r="AP259" s="111">
        <v>5</v>
      </c>
      <c r="AQ259" s="111">
        <v>5</v>
      </c>
      <c r="AR259" s="111">
        <v>5</v>
      </c>
      <c r="AS259" s="111">
        <v>5</v>
      </c>
      <c r="AT259" s="111">
        <v>5</v>
      </c>
      <c r="AU259" s="111">
        <v>5</v>
      </c>
      <c r="AV259" s="50" t="s">
        <v>199</v>
      </c>
      <c r="AW259" s="50" t="s">
        <v>199</v>
      </c>
      <c r="AX259" s="50" t="s">
        <v>199</v>
      </c>
      <c r="AY259" s="50" t="s">
        <v>200</v>
      </c>
      <c r="AZ259" s="50" t="s">
        <v>200</v>
      </c>
      <c r="BA259" s="50" t="s">
        <v>200</v>
      </c>
      <c r="BB259" s="50" t="s">
        <v>200</v>
      </c>
      <c r="BC259" s="50" t="s">
        <v>200</v>
      </c>
      <c r="BD259" s="50" t="s">
        <v>200</v>
      </c>
      <c r="BE259" s="50" t="s">
        <v>200</v>
      </c>
      <c r="BF259" s="50" t="s">
        <v>200</v>
      </c>
      <c r="BG259" s="50" t="s">
        <v>200</v>
      </c>
      <c r="BH259" s="50" t="s">
        <v>200</v>
      </c>
      <c r="BI259" s="50" t="s">
        <v>200</v>
      </c>
      <c r="BJ259" s="50" t="s">
        <v>200</v>
      </c>
      <c r="BK259" s="50" t="s">
        <v>200</v>
      </c>
      <c r="BL259" s="50" t="s">
        <v>200</v>
      </c>
      <c r="BM259" s="50" t="s">
        <v>436</v>
      </c>
      <c r="BN259" s="50" t="s">
        <v>318</v>
      </c>
      <c r="BO259" s="50" t="s">
        <v>91</v>
      </c>
      <c r="BP259" s="50" t="s">
        <v>286</v>
      </c>
      <c r="BQ259" s="50" t="s">
        <v>287</v>
      </c>
      <c r="BR259" s="50" t="s">
        <v>403</v>
      </c>
      <c r="BS259" s="111">
        <v>5</v>
      </c>
      <c r="BT259" s="50" t="s">
        <v>286</v>
      </c>
      <c r="BU259" s="50" t="s">
        <v>312</v>
      </c>
      <c r="BV259" s="50" t="s">
        <v>288</v>
      </c>
      <c r="BW259" s="50" t="s">
        <v>303</v>
      </c>
      <c r="BX259" s="50" t="s">
        <v>296</v>
      </c>
      <c r="BY259" s="50" t="s">
        <v>288</v>
      </c>
      <c r="BZ259" s="50" t="s">
        <v>287</v>
      </c>
      <c r="CA259" s="50"/>
      <c r="CB259" s="50" t="s">
        <v>287</v>
      </c>
      <c r="CC259" s="50" t="s">
        <v>287</v>
      </c>
      <c r="CD259" s="50" t="s">
        <v>287</v>
      </c>
      <c r="CE259" s="50"/>
      <c r="CF259" s="50" t="s">
        <v>287</v>
      </c>
      <c r="CG259" s="50" t="s">
        <v>287</v>
      </c>
      <c r="CH259" s="50" t="s">
        <v>486</v>
      </c>
      <c r="CI259" s="50" t="s">
        <v>287</v>
      </c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</row>
    <row r="260" spans="1:97" ht="36.75" customHeight="1" thickBot="1">
      <c r="A260" s="49">
        <v>46091.366944444446</v>
      </c>
      <c r="B260" s="50" t="s">
        <v>40</v>
      </c>
      <c r="C260" s="50" t="s">
        <v>45</v>
      </c>
      <c r="D260" s="50" t="s">
        <v>374</v>
      </c>
      <c r="E260" s="50" t="s">
        <v>63</v>
      </c>
      <c r="F260" s="50" t="s">
        <v>286</v>
      </c>
      <c r="G260" s="50" t="s">
        <v>73</v>
      </c>
      <c r="H260" s="50" t="s">
        <v>361</v>
      </c>
      <c r="I260" s="50" t="s">
        <v>81</v>
      </c>
      <c r="J260" s="50" t="s">
        <v>286</v>
      </c>
      <c r="K260" s="50" t="s">
        <v>287</v>
      </c>
      <c r="L260" s="50" t="s">
        <v>336</v>
      </c>
      <c r="M260" s="50" t="s">
        <v>319</v>
      </c>
      <c r="N260" s="111">
        <v>5</v>
      </c>
      <c r="O260" s="111">
        <v>5</v>
      </c>
      <c r="P260" s="111">
        <v>5</v>
      </c>
      <c r="Q260" s="111">
        <v>5</v>
      </c>
      <c r="R260" s="111">
        <v>5</v>
      </c>
      <c r="S260" s="111">
        <v>5</v>
      </c>
      <c r="T260" s="111">
        <v>5</v>
      </c>
      <c r="U260" s="111">
        <v>5</v>
      </c>
      <c r="V260" s="111">
        <v>5</v>
      </c>
      <c r="W260" s="111">
        <v>5</v>
      </c>
      <c r="X260" s="111">
        <v>5</v>
      </c>
      <c r="Y260" s="111">
        <v>5</v>
      </c>
      <c r="Z260" s="111">
        <v>5</v>
      </c>
      <c r="AA260" s="111">
        <v>5</v>
      </c>
      <c r="AB260" s="111">
        <v>5</v>
      </c>
      <c r="AC260" s="111">
        <v>5</v>
      </c>
      <c r="AD260" s="111">
        <v>5</v>
      </c>
      <c r="AE260" s="111">
        <v>5</v>
      </c>
      <c r="AF260" s="111">
        <v>5</v>
      </c>
      <c r="AG260" s="111">
        <v>5</v>
      </c>
      <c r="AH260" s="111">
        <v>5</v>
      </c>
      <c r="AI260" s="111">
        <v>5</v>
      </c>
      <c r="AJ260" s="111">
        <v>5</v>
      </c>
      <c r="AK260" s="111">
        <v>5</v>
      </c>
      <c r="AL260" s="111">
        <v>5</v>
      </c>
      <c r="AM260" s="111">
        <v>5</v>
      </c>
      <c r="AN260" s="111">
        <v>5</v>
      </c>
      <c r="AO260" s="111">
        <v>5</v>
      </c>
      <c r="AP260" s="111">
        <v>5</v>
      </c>
      <c r="AQ260" s="111">
        <v>5</v>
      </c>
      <c r="AR260" s="111">
        <v>5</v>
      </c>
      <c r="AS260" s="111">
        <v>5</v>
      </c>
      <c r="AT260" s="111">
        <v>5</v>
      </c>
      <c r="AU260" s="111">
        <v>5</v>
      </c>
      <c r="AV260" s="50" t="s">
        <v>199</v>
      </c>
      <c r="AW260" s="50" t="s">
        <v>199</v>
      </c>
      <c r="AX260" s="50" t="s">
        <v>199</v>
      </c>
      <c r="AY260" s="50" t="s">
        <v>200</v>
      </c>
      <c r="AZ260" s="50" t="s">
        <v>200</v>
      </c>
      <c r="BA260" s="50" t="s">
        <v>200</v>
      </c>
      <c r="BB260" s="50" t="s">
        <v>200</v>
      </c>
      <c r="BC260" s="50" t="s">
        <v>200</v>
      </c>
      <c r="BD260" s="50" t="s">
        <v>200</v>
      </c>
      <c r="BE260" s="50" t="s">
        <v>200</v>
      </c>
      <c r="BF260" s="50" t="s">
        <v>200</v>
      </c>
      <c r="BG260" s="50" t="s">
        <v>200</v>
      </c>
      <c r="BH260" s="50" t="s">
        <v>200</v>
      </c>
      <c r="BI260" s="50" t="s">
        <v>200</v>
      </c>
      <c r="BJ260" s="50" t="s">
        <v>200</v>
      </c>
      <c r="BK260" s="50" t="s">
        <v>200</v>
      </c>
      <c r="BL260" s="50" t="s">
        <v>200</v>
      </c>
      <c r="BM260" s="50" t="s">
        <v>436</v>
      </c>
      <c r="BN260" s="50" t="s">
        <v>318</v>
      </c>
      <c r="BO260" s="50" t="s">
        <v>91</v>
      </c>
      <c r="BP260" s="50" t="s">
        <v>286</v>
      </c>
      <c r="BQ260" s="50" t="s">
        <v>287</v>
      </c>
      <c r="BR260" s="50" t="s">
        <v>406</v>
      </c>
      <c r="BS260" s="111">
        <v>5</v>
      </c>
      <c r="BT260" s="50" t="s">
        <v>286</v>
      </c>
      <c r="BU260" s="50" t="s">
        <v>312</v>
      </c>
      <c r="BV260" s="50" t="s">
        <v>288</v>
      </c>
      <c r="BW260" s="50" t="s">
        <v>303</v>
      </c>
      <c r="BX260" s="50" t="s">
        <v>290</v>
      </c>
      <c r="BY260" s="50" t="s">
        <v>288</v>
      </c>
      <c r="BZ260" s="50" t="s">
        <v>287</v>
      </c>
      <c r="CA260" s="50"/>
      <c r="CB260" s="50" t="s">
        <v>287</v>
      </c>
      <c r="CC260" s="50" t="s">
        <v>287</v>
      </c>
      <c r="CD260" s="50" t="s">
        <v>287</v>
      </c>
      <c r="CE260" s="50"/>
      <c r="CF260" s="50" t="s">
        <v>287</v>
      </c>
      <c r="CG260" s="50" t="s">
        <v>287</v>
      </c>
      <c r="CH260" s="50" t="s">
        <v>486</v>
      </c>
      <c r="CI260" s="50" t="s">
        <v>287</v>
      </c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</row>
    <row r="261" spans="1:97" ht="36.75" customHeight="1" thickBot="1">
      <c r="A261" s="49">
        <v>46091.374155092592</v>
      </c>
      <c r="B261" s="50" t="s">
        <v>40</v>
      </c>
      <c r="C261" s="50" t="s">
        <v>45</v>
      </c>
      <c r="D261" s="50" t="s">
        <v>369</v>
      </c>
      <c r="E261" s="50" t="s">
        <v>285</v>
      </c>
      <c r="F261" s="50" t="s">
        <v>286</v>
      </c>
      <c r="G261" s="50" t="s">
        <v>73</v>
      </c>
      <c r="H261" s="50" t="s">
        <v>560</v>
      </c>
      <c r="I261" s="50" t="s">
        <v>81</v>
      </c>
      <c r="J261" s="50" t="s">
        <v>286</v>
      </c>
      <c r="K261" s="50" t="s">
        <v>287</v>
      </c>
      <c r="L261" s="50" t="s">
        <v>336</v>
      </c>
      <c r="M261" s="50" t="s">
        <v>319</v>
      </c>
      <c r="N261" s="111">
        <v>5</v>
      </c>
      <c r="O261" s="111">
        <v>5</v>
      </c>
      <c r="P261" s="111">
        <v>5</v>
      </c>
      <c r="Q261" s="111">
        <v>5</v>
      </c>
      <c r="R261" s="111">
        <v>5</v>
      </c>
      <c r="S261" s="111">
        <v>5</v>
      </c>
      <c r="T261" s="111">
        <v>5</v>
      </c>
      <c r="U261" s="111">
        <v>5</v>
      </c>
      <c r="V261" s="111">
        <v>5</v>
      </c>
      <c r="W261" s="111">
        <v>5</v>
      </c>
      <c r="X261" s="111">
        <v>5</v>
      </c>
      <c r="Y261" s="111">
        <v>5</v>
      </c>
      <c r="Z261" s="111">
        <v>5</v>
      </c>
      <c r="AA261" s="111">
        <v>5</v>
      </c>
      <c r="AB261" s="111">
        <v>5</v>
      </c>
      <c r="AC261" s="111">
        <v>5</v>
      </c>
      <c r="AD261" s="111">
        <v>5</v>
      </c>
      <c r="AE261" s="111">
        <v>5</v>
      </c>
      <c r="AF261" s="111">
        <v>5</v>
      </c>
      <c r="AG261" s="111">
        <v>5</v>
      </c>
      <c r="AH261" s="111">
        <v>5</v>
      </c>
      <c r="AI261" s="111">
        <v>5</v>
      </c>
      <c r="AJ261" s="111">
        <v>5</v>
      </c>
      <c r="AK261" s="111">
        <v>5</v>
      </c>
      <c r="AL261" s="111">
        <v>5</v>
      </c>
      <c r="AM261" s="111">
        <v>5</v>
      </c>
      <c r="AN261" s="111">
        <v>5</v>
      </c>
      <c r="AO261" s="111">
        <v>5</v>
      </c>
      <c r="AP261" s="111">
        <v>5</v>
      </c>
      <c r="AQ261" s="111">
        <v>5</v>
      </c>
      <c r="AR261" s="111">
        <v>5</v>
      </c>
      <c r="AS261" s="111">
        <v>5</v>
      </c>
      <c r="AT261" s="111">
        <v>5</v>
      </c>
      <c r="AU261" s="111">
        <v>5</v>
      </c>
      <c r="AV261" s="50" t="s">
        <v>199</v>
      </c>
      <c r="AW261" s="50" t="s">
        <v>199</v>
      </c>
      <c r="AX261" s="50" t="s">
        <v>199</v>
      </c>
      <c r="AY261" s="50" t="s">
        <v>200</v>
      </c>
      <c r="AZ261" s="50" t="s">
        <v>200</v>
      </c>
      <c r="BA261" s="50" t="s">
        <v>200</v>
      </c>
      <c r="BB261" s="50" t="s">
        <v>200</v>
      </c>
      <c r="BC261" s="50" t="s">
        <v>200</v>
      </c>
      <c r="BD261" s="50" t="s">
        <v>200</v>
      </c>
      <c r="BE261" s="50" t="s">
        <v>200</v>
      </c>
      <c r="BF261" s="50" t="s">
        <v>200</v>
      </c>
      <c r="BG261" s="50" t="s">
        <v>200</v>
      </c>
      <c r="BH261" s="50" t="s">
        <v>200</v>
      </c>
      <c r="BI261" s="50" t="s">
        <v>200</v>
      </c>
      <c r="BJ261" s="50" t="s">
        <v>200</v>
      </c>
      <c r="BK261" s="50" t="s">
        <v>200</v>
      </c>
      <c r="BL261" s="50" t="s">
        <v>200</v>
      </c>
      <c r="BM261" s="50" t="s">
        <v>436</v>
      </c>
      <c r="BN261" s="50" t="s">
        <v>318</v>
      </c>
      <c r="BO261" s="50" t="s">
        <v>91</v>
      </c>
      <c r="BP261" s="50" t="s">
        <v>286</v>
      </c>
      <c r="BQ261" s="50" t="s">
        <v>287</v>
      </c>
      <c r="BR261" s="50" t="s">
        <v>382</v>
      </c>
      <c r="BS261" s="111">
        <v>5</v>
      </c>
      <c r="BT261" s="50" t="s">
        <v>286</v>
      </c>
      <c r="BU261" s="50" t="s">
        <v>312</v>
      </c>
      <c r="BV261" s="50" t="s">
        <v>288</v>
      </c>
      <c r="BW261" s="50" t="s">
        <v>303</v>
      </c>
      <c r="BX261" s="50" t="s">
        <v>290</v>
      </c>
      <c r="BY261" s="50" t="s">
        <v>288</v>
      </c>
      <c r="BZ261" s="50" t="s">
        <v>287</v>
      </c>
      <c r="CA261" s="50"/>
      <c r="CB261" s="50" t="s">
        <v>287</v>
      </c>
      <c r="CC261" s="50" t="s">
        <v>287</v>
      </c>
      <c r="CD261" s="50" t="s">
        <v>287</v>
      </c>
      <c r="CE261" s="50"/>
      <c r="CF261" s="50" t="s">
        <v>287</v>
      </c>
      <c r="CG261" s="50" t="s">
        <v>287</v>
      </c>
      <c r="CH261" s="50" t="s">
        <v>486</v>
      </c>
      <c r="CI261" s="50" t="s">
        <v>287</v>
      </c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</row>
    <row r="262" spans="1:97" ht="36.75" customHeight="1" thickBot="1">
      <c r="A262" s="49">
        <v>46091.376921296294</v>
      </c>
      <c r="B262" s="50" t="s">
        <v>40</v>
      </c>
      <c r="C262" s="50" t="s">
        <v>45</v>
      </c>
      <c r="D262" s="50" t="s">
        <v>374</v>
      </c>
      <c r="E262" s="50" t="s">
        <v>60</v>
      </c>
      <c r="F262" s="50" t="s">
        <v>286</v>
      </c>
      <c r="G262" s="50" t="s">
        <v>73</v>
      </c>
      <c r="H262" s="50" t="s">
        <v>522</v>
      </c>
      <c r="I262" s="50" t="s">
        <v>81</v>
      </c>
      <c r="J262" s="50" t="s">
        <v>286</v>
      </c>
      <c r="K262" s="50" t="s">
        <v>291</v>
      </c>
      <c r="L262" s="50" t="s">
        <v>336</v>
      </c>
      <c r="M262" s="50" t="s">
        <v>7</v>
      </c>
      <c r="N262" s="111">
        <v>5</v>
      </c>
      <c r="O262" s="111">
        <v>5</v>
      </c>
      <c r="P262" s="111">
        <v>5</v>
      </c>
      <c r="Q262" s="111">
        <v>5</v>
      </c>
      <c r="R262" s="111">
        <v>5</v>
      </c>
      <c r="S262" s="111">
        <v>5</v>
      </c>
      <c r="T262" s="111">
        <v>5</v>
      </c>
      <c r="U262" s="111">
        <v>5</v>
      </c>
      <c r="V262" s="111">
        <v>5</v>
      </c>
      <c r="W262" s="111">
        <v>5</v>
      </c>
      <c r="X262" s="111">
        <v>5</v>
      </c>
      <c r="Y262" s="111">
        <v>5</v>
      </c>
      <c r="Z262" s="111">
        <v>5</v>
      </c>
      <c r="AA262" s="111">
        <v>5</v>
      </c>
      <c r="AB262" s="111">
        <v>5</v>
      </c>
      <c r="AC262" s="111">
        <v>5</v>
      </c>
      <c r="AD262" s="111">
        <v>5</v>
      </c>
      <c r="AE262" s="111">
        <v>5</v>
      </c>
      <c r="AF262" s="111">
        <v>5</v>
      </c>
      <c r="AG262" s="111">
        <v>5</v>
      </c>
      <c r="AH262" s="111">
        <v>5</v>
      </c>
      <c r="AI262" s="111">
        <v>5</v>
      </c>
      <c r="AJ262" s="111">
        <v>5</v>
      </c>
      <c r="AK262" s="111">
        <v>5</v>
      </c>
      <c r="AL262" s="111">
        <v>5</v>
      </c>
      <c r="AM262" s="111">
        <v>5</v>
      </c>
      <c r="AN262" s="111">
        <v>5</v>
      </c>
      <c r="AO262" s="111">
        <v>5</v>
      </c>
      <c r="AP262" s="111">
        <v>5</v>
      </c>
      <c r="AQ262" s="111">
        <v>5</v>
      </c>
      <c r="AR262" s="111">
        <v>5</v>
      </c>
      <c r="AS262" s="111">
        <v>5</v>
      </c>
      <c r="AT262" s="111">
        <v>5</v>
      </c>
      <c r="AU262" s="111">
        <v>5</v>
      </c>
      <c r="AV262" s="50" t="s">
        <v>199</v>
      </c>
      <c r="AW262" s="50" t="s">
        <v>199</v>
      </c>
      <c r="AX262" s="50" t="s">
        <v>199</v>
      </c>
      <c r="AY262" s="50" t="s">
        <v>200</v>
      </c>
      <c r="AZ262" s="50" t="s">
        <v>200</v>
      </c>
      <c r="BA262" s="50" t="s">
        <v>200</v>
      </c>
      <c r="BB262" s="50" t="s">
        <v>200</v>
      </c>
      <c r="BC262" s="50" t="s">
        <v>200</v>
      </c>
      <c r="BD262" s="50" t="s">
        <v>200</v>
      </c>
      <c r="BE262" s="50" t="s">
        <v>200</v>
      </c>
      <c r="BF262" s="50" t="s">
        <v>200</v>
      </c>
      <c r="BG262" s="50" t="s">
        <v>200</v>
      </c>
      <c r="BH262" s="50" t="s">
        <v>200</v>
      </c>
      <c r="BI262" s="50" t="s">
        <v>200</v>
      </c>
      <c r="BJ262" s="50" t="s">
        <v>200</v>
      </c>
      <c r="BK262" s="50" t="s">
        <v>200</v>
      </c>
      <c r="BL262" s="50" t="s">
        <v>200</v>
      </c>
      <c r="BM262" s="50" t="s">
        <v>436</v>
      </c>
      <c r="BN262" s="50" t="s">
        <v>318</v>
      </c>
      <c r="BO262" s="50" t="s">
        <v>91</v>
      </c>
      <c r="BP262" s="50" t="s">
        <v>286</v>
      </c>
      <c r="BQ262" s="50" t="s">
        <v>287</v>
      </c>
      <c r="BR262" s="50" t="s">
        <v>382</v>
      </c>
      <c r="BS262" s="111">
        <v>4</v>
      </c>
      <c r="BT262" s="50" t="s">
        <v>286</v>
      </c>
      <c r="BU262" s="50" t="s">
        <v>312</v>
      </c>
      <c r="BV262" s="50" t="s">
        <v>288</v>
      </c>
      <c r="BW262" s="50" t="s">
        <v>304</v>
      </c>
      <c r="BX262" s="50" t="s">
        <v>300</v>
      </c>
      <c r="BY262" s="50" t="s">
        <v>288</v>
      </c>
      <c r="BZ262" s="50" t="s">
        <v>287</v>
      </c>
      <c r="CA262" s="50"/>
      <c r="CB262" s="50" t="s">
        <v>287</v>
      </c>
      <c r="CC262" s="50" t="s">
        <v>287</v>
      </c>
      <c r="CD262" s="50" t="s">
        <v>287</v>
      </c>
      <c r="CE262" s="50"/>
      <c r="CF262" s="50" t="s">
        <v>287</v>
      </c>
      <c r="CG262" s="50" t="s">
        <v>287</v>
      </c>
      <c r="CH262" s="50" t="s">
        <v>486</v>
      </c>
      <c r="CI262" s="50" t="s">
        <v>287</v>
      </c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</row>
    <row r="263" spans="1:97" ht="36.75" customHeight="1" thickBot="1">
      <c r="A263" s="49">
        <v>46091.382245370369</v>
      </c>
      <c r="B263" s="50" t="s">
        <v>40</v>
      </c>
      <c r="C263" s="50" t="s">
        <v>46</v>
      </c>
      <c r="D263" s="50" t="s">
        <v>369</v>
      </c>
      <c r="E263" s="50" t="s">
        <v>61</v>
      </c>
      <c r="F263" s="50" t="s">
        <v>286</v>
      </c>
      <c r="G263" s="50" t="s">
        <v>292</v>
      </c>
      <c r="H263" s="50" t="s">
        <v>561</v>
      </c>
      <c r="I263" s="50" t="s">
        <v>81</v>
      </c>
      <c r="J263" s="50" t="s">
        <v>286</v>
      </c>
      <c r="K263" s="50" t="s">
        <v>287</v>
      </c>
      <c r="L263" s="50" t="s">
        <v>336</v>
      </c>
      <c r="M263" s="50" t="s">
        <v>7</v>
      </c>
      <c r="N263" s="111">
        <v>5</v>
      </c>
      <c r="O263" s="111">
        <v>5</v>
      </c>
      <c r="P263" s="111">
        <v>5</v>
      </c>
      <c r="Q263" s="111">
        <v>5</v>
      </c>
      <c r="R263" s="111">
        <v>5</v>
      </c>
      <c r="S263" s="111">
        <v>5</v>
      </c>
      <c r="T263" s="111">
        <v>5</v>
      </c>
      <c r="U263" s="111">
        <v>5</v>
      </c>
      <c r="V263" s="111">
        <v>5</v>
      </c>
      <c r="W263" s="111">
        <v>5</v>
      </c>
      <c r="X263" s="111">
        <v>5</v>
      </c>
      <c r="Y263" s="111">
        <v>5</v>
      </c>
      <c r="Z263" s="111">
        <v>5</v>
      </c>
      <c r="AA263" s="111">
        <v>5</v>
      </c>
      <c r="AB263" s="111">
        <v>5</v>
      </c>
      <c r="AC263" s="111">
        <v>5</v>
      </c>
      <c r="AD263" s="111">
        <v>5</v>
      </c>
      <c r="AE263" s="111">
        <v>5</v>
      </c>
      <c r="AF263" s="111">
        <v>5</v>
      </c>
      <c r="AG263" s="111">
        <v>5</v>
      </c>
      <c r="AH263" s="111">
        <v>5</v>
      </c>
      <c r="AI263" s="111">
        <v>5</v>
      </c>
      <c r="AJ263" s="111">
        <v>5</v>
      </c>
      <c r="AK263" s="111">
        <v>5</v>
      </c>
      <c r="AL263" s="111">
        <v>5</v>
      </c>
      <c r="AM263" s="111">
        <v>5</v>
      </c>
      <c r="AN263" s="111">
        <v>5</v>
      </c>
      <c r="AO263" s="111">
        <v>5</v>
      </c>
      <c r="AP263" s="111">
        <v>5</v>
      </c>
      <c r="AQ263" s="111">
        <v>5</v>
      </c>
      <c r="AR263" s="111">
        <v>5</v>
      </c>
      <c r="AS263" s="111">
        <v>5</v>
      </c>
      <c r="AT263" s="111">
        <v>5</v>
      </c>
      <c r="AU263" s="111">
        <v>5</v>
      </c>
      <c r="AV263" s="50" t="s">
        <v>199</v>
      </c>
      <c r="AW263" s="50" t="s">
        <v>199</v>
      </c>
      <c r="AX263" s="50" t="s">
        <v>199</v>
      </c>
      <c r="AY263" s="50" t="s">
        <v>200</v>
      </c>
      <c r="AZ263" s="50" t="s">
        <v>200</v>
      </c>
      <c r="BA263" s="50" t="s">
        <v>200</v>
      </c>
      <c r="BB263" s="50" t="s">
        <v>200</v>
      </c>
      <c r="BC263" s="50" t="s">
        <v>200</v>
      </c>
      <c r="BD263" s="50" t="s">
        <v>200</v>
      </c>
      <c r="BE263" s="50" t="s">
        <v>200</v>
      </c>
      <c r="BF263" s="50" t="s">
        <v>200</v>
      </c>
      <c r="BG263" s="50" t="s">
        <v>200</v>
      </c>
      <c r="BH263" s="50" t="s">
        <v>200</v>
      </c>
      <c r="BI263" s="50" t="s">
        <v>200</v>
      </c>
      <c r="BJ263" s="50" t="s">
        <v>200</v>
      </c>
      <c r="BK263" s="50" t="s">
        <v>200</v>
      </c>
      <c r="BL263" s="50" t="s">
        <v>200</v>
      </c>
      <c r="BM263" s="50" t="s">
        <v>436</v>
      </c>
      <c r="BN263" s="50" t="s">
        <v>318</v>
      </c>
      <c r="BO263" s="50" t="s">
        <v>91</v>
      </c>
      <c r="BP263" s="50" t="s">
        <v>286</v>
      </c>
      <c r="BQ263" s="50" t="s">
        <v>287</v>
      </c>
      <c r="BR263" s="50" t="s">
        <v>414</v>
      </c>
      <c r="BS263" s="111">
        <v>4</v>
      </c>
      <c r="BT263" s="50" t="s">
        <v>286</v>
      </c>
      <c r="BU263" s="50" t="s">
        <v>312</v>
      </c>
      <c r="BV263" s="50" t="s">
        <v>288</v>
      </c>
      <c r="BW263" s="50" t="s">
        <v>293</v>
      </c>
      <c r="BX263" s="50" t="s">
        <v>294</v>
      </c>
      <c r="BY263" s="50" t="s">
        <v>288</v>
      </c>
      <c r="BZ263" s="50" t="s">
        <v>287</v>
      </c>
      <c r="CA263" s="50"/>
      <c r="CB263" s="50" t="s">
        <v>287</v>
      </c>
      <c r="CC263" s="50" t="s">
        <v>287</v>
      </c>
      <c r="CD263" s="50" t="s">
        <v>287</v>
      </c>
      <c r="CE263" s="50"/>
      <c r="CF263" s="50" t="s">
        <v>287</v>
      </c>
      <c r="CG263" s="50" t="s">
        <v>287</v>
      </c>
      <c r="CH263" s="50" t="s">
        <v>486</v>
      </c>
      <c r="CI263" s="50" t="s">
        <v>287</v>
      </c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</row>
    <row r="264" spans="1:97" ht="36.75" customHeight="1" thickBot="1">
      <c r="A264" s="49">
        <v>46091.436701388891</v>
      </c>
      <c r="B264" s="50" t="s">
        <v>40</v>
      </c>
      <c r="C264" s="50" t="s">
        <v>45</v>
      </c>
      <c r="D264" s="50" t="s">
        <v>374</v>
      </c>
      <c r="E264" s="50" t="s">
        <v>61</v>
      </c>
      <c r="F264" s="50" t="s">
        <v>286</v>
      </c>
      <c r="G264" s="50" t="s">
        <v>292</v>
      </c>
      <c r="H264" s="50" t="s">
        <v>462</v>
      </c>
      <c r="I264" s="50" t="s">
        <v>81</v>
      </c>
      <c r="J264" s="50" t="s">
        <v>286</v>
      </c>
      <c r="K264" s="50" t="s">
        <v>287</v>
      </c>
      <c r="L264" s="50" t="s">
        <v>562</v>
      </c>
      <c r="M264" s="50" t="s">
        <v>7</v>
      </c>
      <c r="N264" s="111">
        <v>5</v>
      </c>
      <c r="O264" s="111">
        <v>5</v>
      </c>
      <c r="P264" s="111">
        <v>5</v>
      </c>
      <c r="Q264" s="111">
        <v>5</v>
      </c>
      <c r="R264" s="111">
        <v>5</v>
      </c>
      <c r="S264" s="111">
        <v>5</v>
      </c>
      <c r="T264" s="111">
        <v>5</v>
      </c>
      <c r="U264" s="111">
        <v>5</v>
      </c>
      <c r="V264" s="111">
        <v>5</v>
      </c>
      <c r="W264" s="111">
        <v>5</v>
      </c>
      <c r="X264" s="111">
        <v>5</v>
      </c>
      <c r="Y264" s="111">
        <v>5</v>
      </c>
      <c r="Z264" s="111">
        <v>5</v>
      </c>
      <c r="AA264" s="111">
        <v>5</v>
      </c>
      <c r="AB264" s="111">
        <v>5</v>
      </c>
      <c r="AC264" s="111">
        <v>5</v>
      </c>
      <c r="AD264" s="111">
        <v>5</v>
      </c>
      <c r="AE264" s="111">
        <v>5</v>
      </c>
      <c r="AF264" s="111">
        <v>5</v>
      </c>
      <c r="AG264" s="111">
        <v>5</v>
      </c>
      <c r="AH264" s="111">
        <v>5</v>
      </c>
      <c r="AI264" s="111">
        <v>5</v>
      </c>
      <c r="AJ264" s="111">
        <v>5</v>
      </c>
      <c r="AK264" s="111">
        <v>5</v>
      </c>
      <c r="AL264" s="111">
        <v>5</v>
      </c>
      <c r="AM264" s="111">
        <v>5</v>
      </c>
      <c r="AN264" s="111">
        <v>5</v>
      </c>
      <c r="AO264" s="111">
        <v>5</v>
      </c>
      <c r="AP264" s="111">
        <v>5</v>
      </c>
      <c r="AQ264" s="111">
        <v>5</v>
      </c>
      <c r="AR264" s="111">
        <v>5</v>
      </c>
      <c r="AS264" s="111">
        <v>5</v>
      </c>
      <c r="AT264" s="111">
        <v>5</v>
      </c>
      <c r="AU264" s="111">
        <v>5</v>
      </c>
      <c r="AV264" s="50" t="s">
        <v>199</v>
      </c>
      <c r="AW264" s="50" t="s">
        <v>199</v>
      </c>
      <c r="AX264" s="50" t="s">
        <v>199</v>
      </c>
      <c r="AY264" s="50" t="s">
        <v>200</v>
      </c>
      <c r="AZ264" s="50" t="s">
        <v>200</v>
      </c>
      <c r="BA264" s="50" t="s">
        <v>200</v>
      </c>
      <c r="BB264" s="50" t="s">
        <v>200</v>
      </c>
      <c r="BC264" s="50" t="s">
        <v>200</v>
      </c>
      <c r="BD264" s="50" t="s">
        <v>200</v>
      </c>
      <c r="BE264" s="50" t="s">
        <v>200</v>
      </c>
      <c r="BF264" s="50" t="s">
        <v>200</v>
      </c>
      <c r="BG264" s="50" t="s">
        <v>200</v>
      </c>
      <c r="BH264" s="50" t="s">
        <v>200</v>
      </c>
      <c r="BI264" s="50" t="s">
        <v>200</v>
      </c>
      <c r="BJ264" s="50" t="s">
        <v>200</v>
      </c>
      <c r="BK264" s="50" t="s">
        <v>200</v>
      </c>
      <c r="BL264" s="50" t="s">
        <v>200</v>
      </c>
      <c r="BM264" s="50" t="s">
        <v>436</v>
      </c>
      <c r="BN264" s="50" t="s">
        <v>318</v>
      </c>
      <c r="BO264" s="50" t="s">
        <v>91</v>
      </c>
      <c r="BP264" s="50" t="s">
        <v>286</v>
      </c>
      <c r="BQ264" s="50" t="s">
        <v>287</v>
      </c>
      <c r="BR264" s="50" t="s">
        <v>382</v>
      </c>
      <c r="BS264" s="111">
        <v>4</v>
      </c>
      <c r="BT264" s="50" t="s">
        <v>286</v>
      </c>
      <c r="BU264" s="50" t="s">
        <v>312</v>
      </c>
      <c r="BV264" s="50" t="s">
        <v>288</v>
      </c>
      <c r="BW264" s="50" t="s">
        <v>304</v>
      </c>
      <c r="BX264" s="50" t="s">
        <v>290</v>
      </c>
      <c r="BY264" s="50" t="s">
        <v>288</v>
      </c>
      <c r="BZ264" s="50" t="s">
        <v>287</v>
      </c>
      <c r="CA264" s="50"/>
      <c r="CB264" s="50" t="s">
        <v>287</v>
      </c>
      <c r="CC264" s="50" t="s">
        <v>287</v>
      </c>
      <c r="CD264" s="50" t="s">
        <v>287</v>
      </c>
      <c r="CE264" s="50"/>
      <c r="CF264" s="50" t="s">
        <v>287</v>
      </c>
      <c r="CG264" s="50" t="s">
        <v>287</v>
      </c>
      <c r="CH264" s="50" t="s">
        <v>486</v>
      </c>
      <c r="CI264" s="50" t="s">
        <v>287</v>
      </c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</row>
    <row r="265" spans="1:97" ht="36.75" customHeight="1" thickBot="1">
      <c r="A265" s="49">
        <v>46091.441631944443</v>
      </c>
      <c r="B265" s="50" t="s">
        <v>40</v>
      </c>
      <c r="C265" s="50" t="s">
        <v>45</v>
      </c>
      <c r="D265" s="50" t="s">
        <v>374</v>
      </c>
      <c r="E265" s="50" t="s">
        <v>60</v>
      </c>
      <c r="F265" s="50" t="s">
        <v>286</v>
      </c>
      <c r="G265" s="50" t="s">
        <v>292</v>
      </c>
      <c r="H265" s="50" t="s">
        <v>563</v>
      </c>
      <c r="I265" s="50" t="s">
        <v>81</v>
      </c>
      <c r="J265" s="50" t="s">
        <v>286</v>
      </c>
      <c r="K265" s="50" t="s">
        <v>287</v>
      </c>
      <c r="L265" s="50" t="s">
        <v>336</v>
      </c>
      <c r="M265" s="50" t="s">
        <v>7</v>
      </c>
      <c r="N265" s="111">
        <v>5</v>
      </c>
      <c r="O265" s="111">
        <v>5</v>
      </c>
      <c r="P265" s="111">
        <v>5</v>
      </c>
      <c r="Q265" s="111">
        <v>5</v>
      </c>
      <c r="R265" s="111">
        <v>5</v>
      </c>
      <c r="S265" s="111">
        <v>5</v>
      </c>
      <c r="T265" s="111">
        <v>5</v>
      </c>
      <c r="U265" s="111">
        <v>5</v>
      </c>
      <c r="V265" s="111">
        <v>5</v>
      </c>
      <c r="W265" s="111">
        <v>5</v>
      </c>
      <c r="X265" s="111">
        <v>5</v>
      </c>
      <c r="Y265" s="111">
        <v>5</v>
      </c>
      <c r="Z265" s="111">
        <v>5</v>
      </c>
      <c r="AA265" s="111">
        <v>5</v>
      </c>
      <c r="AB265" s="111">
        <v>5</v>
      </c>
      <c r="AC265" s="111">
        <v>5</v>
      </c>
      <c r="AD265" s="111">
        <v>5</v>
      </c>
      <c r="AE265" s="111">
        <v>5</v>
      </c>
      <c r="AF265" s="111">
        <v>5</v>
      </c>
      <c r="AG265" s="111">
        <v>5</v>
      </c>
      <c r="AH265" s="111">
        <v>5</v>
      </c>
      <c r="AI265" s="111">
        <v>5</v>
      </c>
      <c r="AJ265" s="111">
        <v>5</v>
      </c>
      <c r="AK265" s="111">
        <v>5</v>
      </c>
      <c r="AL265" s="111">
        <v>5</v>
      </c>
      <c r="AM265" s="111">
        <v>5</v>
      </c>
      <c r="AN265" s="111">
        <v>5</v>
      </c>
      <c r="AO265" s="111">
        <v>5</v>
      </c>
      <c r="AP265" s="111">
        <v>5</v>
      </c>
      <c r="AQ265" s="111">
        <v>5</v>
      </c>
      <c r="AR265" s="111">
        <v>5</v>
      </c>
      <c r="AS265" s="111">
        <v>5</v>
      </c>
      <c r="AT265" s="111">
        <v>5</v>
      </c>
      <c r="AU265" s="111">
        <v>5</v>
      </c>
      <c r="AV265" s="50" t="s">
        <v>199</v>
      </c>
      <c r="AW265" s="50" t="s">
        <v>199</v>
      </c>
      <c r="AX265" s="50" t="s">
        <v>199</v>
      </c>
      <c r="AY265" s="50" t="s">
        <v>200</v>
      </c>
      <c r="AZ265" s="50" t="s">
        <v>200</v>
      </c>
      <c r="BA265" s="50" t="s">
        <v>200</v>
      </c>
      <c r="BB265" s="50" t="s">
        <v>200</v>
      </c>
      <c r="BC265" s="50" t="s">
        <v>200</v>
      </c>
      <c r="BD265" s="50" t="s">
        <v>200</v>
      </c>
      <c r="BE265" s="50" t="s">
        <v>200</v>
      </c>
      <c r="BF265" s="50" t="s">
        <v>200</v>
      </c>
      <c r="BG265" s="50" t="s">
        <v>200</v>
      </c>
      <c r="BH265" s="50" t="s">
        <v>200</v>
      </c>
      <c r="BI265" s="50" t="s">
        <v>200</v>
      </c>
      <c r="BJ265" s="50" t="s">
        <v>200</v>
      </c>
      <c r="BK265" s="50" t="s">
        <v>200</v>
      </c>
      <c r="BL265" s="50" t="s">
        <v>200</v>
      </c>
      <c r="BM265" s="50" t="s">
        <v>436</v>
      </c>
      <c r="BN265" s="50" t="s">
        <v>318</v>
      </c>
      <c r="BO265" s="50" t="s">
        <v>91</v>
      </c>
      <c r="BP265" s="50" t="s">
        <v>286</v>
      </c>
      <c r="BQ265" s="50" t="s">
        <v>287</v>
      </c>
      <c r="BR265" s="50" t="s">
        <v>412</v>
      </c>
      <c r="BS265" s="111">
        <v>4</v>
      </c>
      <c r="BT265" s="50" t="s">
        <v>286</v>
      </c>
      <c r="BU265" s="50" t="s">
        <v>312</v>
      </c>
      <c r="BV265" s="50" t="s">
        <v>288</v>
      </c>
      <c r="BW265" s="50" t="s">
        <v>289</v>
      </c>
      <c r="BX265" s="50" t="s">
        <v>296</v>
      </c>
      <c r="BY265" s="50" t="s">
        <v>288</v>
      </c>
      <c r="BZ265" s="50" t="s">
        <v>287</v>
      </c>
      <c r="CA265" s="50"/>
      <c r="CB265" s="50" t="s">
        <v>287</v>
      </c>
      <c r="CC265" s="50" t="s">
        <v>287</v>
      </c>
      <c r="CD265" s="50" t="s">
        <v>287</v>
      </c>
      <c r="CE265" s="50"/>
      <c r="CF265" s="50" t="s">
        <v>287</v>
      </c>
      <c r="CG265" s="50" t="s">
        <v>287</v>
      </c>
      <c r="CH265" s="50" t="s">
        <v>486</v>
      </c>
      <c r="CI265" s="50" t="s">
        <v>287</v>
      </c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</row>
    <row r="266" spans="1:97" ht="36.75" customHeight="1" thickBot="1">
      <c r="A266" s="49">
        <v>46091.443391203706</v>
      </c>
      <c r="B266" s="50" t="s">
        <v>40</v>
      </c>
      <c r="C266" s="50" t="s">
        <v>45</v>
      </c>
      <c r="D266" s="50" t="s">
        <v>374</v>
      </c>
      <c r="E266" s="50" t="s">
        <v>61</v>
      </c>
      <c r="F266" s="50" t="s">
        <v>286</v>
      </c>
      <c r="G266" s="50" t="s">
        <v>73</v>
      </c>
      <c r="H266" s="50" t="s">
        <v>426</v>
      </c>
      <c r="I266" s="50" t="s">
        <v>81</v>
      </c>
      <c r="J266" s="50" t="s">
        <v>286</v>
      </c>
      <c r="K266" s="50" t="s">
        <v>287</v>
      </c>
      <c r="L266" s="50" t="s">
        <v>286</v>
      </c>
      <c r="M266" s="50" t="s">
        <v>7</v>
      </c>
      <c r="N266" s="111">
        <v>5</v>
      </c>
      <c r="O266" s="111">
        <v>5</v>
      </c>
      <c r="P266" s="111">
        <v>5</v>
      </c>
      <c r="Q266" s="111">
        <v>5</v>
      </c>
      <c r="R266" s="111">
        <v>5</v>
      </c>
      <c r="S266" s="111">
        <v>5</v>
      </c>
      <c r="T266" s="111">
        <v>5</v>
      </c>
      <c r="U266" s="111">
        <v>5</v>
      </c>
      <c r="V266" s="111">
        <v>5</v>
      </c>
      <c r="W266" s="111">
        <v>5</v>
      </c>
      <c r="X266" s="111">
        <v>5</v>
      </c>
      <c r="Y266" s="111">
        <v>5</v>
      </c>
      <c r="Z266" s="111">
        <v>5</v>
      </c>
      <c r="AA266" s="111">
        <v>5</v>
      </c>
      <c r="AB266" s="111">
        <v>5</v>
      </c>
      <c r="AC266" s="111">
        <v>5</v>
      </c>
      <c r="AD266" s="111">
        <v>5</v>
      </c>
      <c r="AE266" s="111">
        <v>5</v>
      </c>
      <c r="AF266" s="111">
        <v>5</v>
      </c>
      <c r="AG266" s="111">
        <v>5</v>
      </c>
      <c r="AH266" s="111">
        <v>5</v>
      </c>
      <c r="AI266" s="111">
        <v>5</v>
      </c>
      <c r="AJ266" s="111">
        <v>5</v>
      </c>
      <c r="AK266" s="111">
        <v>5</v>
      </c>
      <c r="AL266" s="111">
        <v>5</v>
      </c>
      <c r="AM266" s="111">
        <v>5</v>
      </c>
      <c r="AN266" s="111">
        <v>5</v>
      </c>
      <c r="AO266" s="111">
        <v>5</v>
      </c>
      <c r="AP266" s="111">
        <v>5</v>
      </c>
      <c r="AQ266" s="111">
        <v>5</v>
      </c>
      <c r="AR266" s="111">
        <v>5</v>
      </c>
      <c r="AS266" s="111">
        <v>5</v>
      </c>
      <c r="AT266" s="111">
        <v>5</v>
      </c>
      <c r="AU266" s="111">
        <v>5</v>
      </c>
      <c r="AV266" s="50" t="s">
        <v>199</v>
      </c>
      <c r="AW266" s="50" t="s">
        <v>199</v>
      </c>
      <c r="AX266" s="50" t="s">
        <v>199</v>
      </c>
      <c r="AY266" s="50" t="s">
        <v>200</v>
      </c>
      <c r="AZ266" s="50" t="s">
        <v>200</v>
      </c>
      <c r="BA266" s="50" t="s">
        <v>200</v>
      </c>
      <c r="BB266" s="50" t="s">
        <v>200</v>
      </c>
      <c r="BC266" s="50" t="s">
        <v>200</v>
      </c>
      <c r="BD266" s="50" t="s">
        <v>200</v>
      </c>
      <c r="BE266" s="50" t="s">
        <v>200</v>
      </c>
      <c r="BF266" s="50" t="s">
        <v>200</v>
      </c>
      <c r="BG266" s="50" t="s">
        <v>200</v>
      </c>
      <c r="BH266" s="50" t="s">
        <v>200</v>
      </c>
      <c r="BI266" s="50" t="s">
        <v>200</v>
      </c>
      <c r="BJ266" s="50" t="s">
        <v>200</v>
      </c>
      <c r="BK266" s="50" t="s">
        <v>200</v>
      </c>
      <c r="BL266" s="50" t="s">
        <v>200</v>
      </c>
      <c r="BM266" s="50" t="s">
        <v>436</v>
      </c>
      <c r="BN266" s="50" t="s">
        <v>318</v>
      </c>
      <c r="BO266" s="50" t="s">
        <v>91</v>
      </c>
      <c r="BP266" s="50" t="s">
        <v>286</v>
      </c>
      <c r="BQ266" s="50" t="s">
        <v>287</v>
      </c>
      <c r="BR266" s="50" t="s">
        <v>408</v>
      </c>
      <c r="BS266" s="111">
        <v>4</v>
      </c>
      <c r="BT266" s="50" t="s">
        <v>286</v>
      </c>
      <c r="BU266" s="50" t="s">
        <v>312</v>
      </c>
      <c r="BV266" s="50" t="s">
        <v>288</v>
      </c>
      <c r="BW266" s="50" t="s">
        <v>289</v>
      </c>
      <c r="BX266" s="50" t="s">
        <v>290</v>
      </c>
      <c r="BY266" s="50" t="s">
        <v>288</v>
      </c>
      <c r="BZ266" s="50" t="s">
        <v>287</v>
      </c>
      <c r="CA266" s="50"/>
      <c r="CB266" s="50" t="s">
        <v>287</v>
      </c>
      <c r="CC266" s="50" t="s">
        <v>287</v>
      </c>
      <c r="CD266" s="50" t="s">
        <v>287</v>
      </c>
      <c r="CE266" s="50"/>
      <c r="CF266" s="50" t="s">
        <v>287</v>
      </c>
      <c r="CG266" s="50" t="s">
        <v>287</v>
      </c>
      <c r="CH266" s="50" t="s">
        <v>486</v>
      </c>
      <c r="CI266" s="50" t="s">
        <v>287</v>
      </c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</row>
    <row r="267" spans="1:97" ht="36.75" customHeight="1" thickBot="1">
      <c r="A267" s="49">
        <v>46091.445659722223</v>
      </c>
      <c r="B267" s="50" t="s">
        <v>38</v>
      </c>
      <c r="C267" s="50" t="s">
        <v>46</v>
      </c>
      <c r="D267" s="50" t="s">
        <v>369</v>
      </c>
      <c r="E267" s="50" t="s">
        <v>285</v>
      </c>
      <c r="F267" s="50" t="s">
        <v>286</v>
      </c>
      <c r="G267" s="50" t="s">
        <v>74</v>
      </c>
      <c r="H267" s="50" t="s">
        <v>306</v>
      </c>
      <c r="I267" s="50" t="s">
        <v>91</v>
      </c>
      <c r="J267" s="50" t="s">
        <v>286</v>
      </c>
      <c r="K267" s="50" t="s">
        <v>291</v>
      </c>
      <c r="L267" s="50" t="s">
        <v>286</v>
      </c>
      <c r="M267" s="50" t="s">
        <v>319</v>
      </c>
      <c r="N267" s="111">
        <v>5</v>
      </c>
      <c r="O267" s="111">
        <v>5</v>
      </c>
      <c r="P267" s="111">
        <v>5</v>
      </c>
      <c r="Q267" s="111">
        <v>5</v>
      </c>
      <c r="R267" s="111">
        <v>6</v>
      </c>
      <c r="S267" s="111">
        <v>6</v>
      </c>
      <c r="T267" s="111">
        <v>5</v>
      </c>
      <c r="U267" s="111">
        <v>5</v>
      </c>
      <c r="V267" s="111">
        <v>6</v>
      </c>
      <c r="W267" s="111">
        <v>6</v>
      </c>
      <c r="X267" s="111">
        <v>6</v>
      </c>
      <c r="Y267" s="111">
        <v>6</v>
      </c>
      <c r="Z267" s="111">
        <v>5</v>
      </c>
      <c r="AA267" s="111">
        <v>6</v>
      </c>
      <c r="AB267" s="111">
        <v>5</v>
      </c>
      <c r="AC267" s="111">
        <v>5</v>
      </c>
      <c r="AD267" s="111">
        <v>5</v>
      </c>
      <c r="AE267" s="111">
        <v>5</v>
      </c>
      <c r="AF267" s="111">
        <v>5</v>
      </c>
      <c r="AG267" s="111">
        <v>5</v>
      </c>
      <c r="AH267" s="111">
        <v>5</v>
      </c>
      <c r="AI267" s="111">
        <v>5</v>
      </c>
      <c r="AJ267" s="111">
        <v>5</v>
      </c>
      <c r="AK267" s="111">
        <v>5</v>
      </c>
      <c r="AL267" s="111">
        <v>5</v>
      </c>
      <c r="AM267" s="111">
        <v>5</v>
      </c>
      <c r="AN267" s="111">
        <v>5</v>
      </c>
      <c r="AO267" s="111">
        <v>5</v>
      </c>
      <c r="AP267" s="111">
        <v>5</v>
      </c>
      <c r="AQ267" s="111">
        <v>6</v>
      </c>
      <c r="AR267" s="111">
        <v>5</v>
      </c>
      <c r="AS267" s="111">
        <v>5</v>
      </c>
      <c r="AT267" s="111">
        <v>5</v>
      </c>
      <c r="AU267" s="111">
        <v>5</v>
      </c>
      <c r="AV267" s="50" t="s">
        <v>199</v>
      </c>
      <c r="AW267" s="50" t="s">
        <v>199</v>
      </c>
      <c r="AX267" s="50" t="s">
        <v>199</v>
      </c>
      <c r="AY267" s="50" t="s">
        <v>199</v>
      </c>
      <c r="AZ267" s="50" t="s">
        <v>202</v>
      </c>
      <c r="BA267" s="50" t="s">
        <v>199</v>
      </c>
      <c r="BB267" s="50" t="s">
        <v>202</v>
      </c>
      <c r="BC267" s="50" t="s">
        <v>202</v>
      </c>
      <c r="BD267" s="50" t="s">
        <v>202</v>
      </c>
      <c r="BE267" s="50" t="s">
        <v>202</v>
      </c>
      <c r="BF267" s="50" t="s">
        <v>199</v>
      </c>
      <c r="BG267" s="50" t="s">
        <v>202</v>
      </c>
      <c r="BH267" s="50" t="s">
        <v>199</v>
      </c>
      <c r="BI267" s="50" t="s">
        <v>202</v>
      </c>
      <c r="BJ267" s="50" t="s">
        <v>202</v>
      </c>
      <c r="BK267" s="50" t="s">
        <v>202</v>
      </c>
      <c r="BL267" s="50" t="s">
        <v>202</v>
      </c>
      <c r="BM267" s="50" t="s">
        <v>436</v>
      </c>
      <c r="BN267" s="50" t="s">
        <v>318</v>
      </c>
      <c r="BO267" s="50" t="s">
        <v>91</v>
      </c>
      <c r="BP267" s="50" t="s">
        <v>286</v>
      </c>
      <c r="BQ267" s="50" t="s">
        <v>287</v>
      </c>
      <c r="BR267" s="50" t="s">
        <v>448</v>
      </c>
      <c r="BS267" s="111">
        <v>5</v>
      </c>
      <c r="BT267" s="50" t="s">
        <v>286</v>
      </c>
      <c r="BU267" s="50" t="s">
        <v>348</v>
      </c>
      <c r="BV267" s="50" t="s">
        <v>288</v>
      </c>
      <c r="BW267" s="50" t="s">
        <v>350</v>
      </c>
      <c r="BX267" s="50" t="s">
        <v>387</v>
      </c>
      <c r="BY267" s="50" t="s">
        <v>288</v>
      </c>
      <c r="BZ267" s="50" t="s">
        <v>287</v>
      </c>
      <c r="CA267" s="50"/>
      <c r="CB267" s="50" t="s">
        <v>287</v>
      </c>
      <c r="CC267" s="50" t="s">
        <v>287</v>
      </c>
      <c r="CD267" s="50" t="s">
        <v>287</v>
      </c>
      <c r="CE267" s="50"/>
      <c r="CF267" s="50" t="s">
        <v>287</v>
      </c>
      <c r="CG267" s="50" t="s">
        <v>287</v>
      </c>
      <c r="CH267" s="50" t="s">
        <v>486</v>
      </c>
      <c r="CI267" s="50" t="s">
        <v>287</v>
      </c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</row>
    <row r="268" spans="1:97" ht="36.75" customHeight="1" thickBot="1">
      <c r="A268" s="49">
        <v>46091.445983796293</v>
      </c>
      <c r="B268" s="50" t="s">
        <v>40</v>
      </c>
      <c r="C268" s="50" t="s">
        <v>45</v>
      </c>
      <c r="D268" s="50" t="s">
        <v>374</v>
      </c>
      <c r="E268" s="50" t="s">
        <v>62</v>
      </c>
      <c r="F268" s="50" t="s">
        <v>286</v>
      </c>
      <c r="G268" s="50" t="s">
        <v>73</v>
      </c>
      <c r="H268" s="50" t="s">
        <v>533</v>
      </c>
      <c r="I268" s="50" t="s">
        <v>81</v>
      </c>
      <c r="J268" s="50" t="s">
        <v>286</v>
      </c>
      <c r="K268" s="50" t="s">
        <v>287</v>
      </c>
      <c r="L268" s="50" t="s">
        <v>336</v>
      </c>
      <c r="M268" s="50" t="s">
        <v>7</v>
      </c>
      <c r="N268" s="111">
        <v>5</v>
      </c>
      <c r="O268" s="111">
        <v>5</v>
      </c>
      <c r="P268" s="111">
        <v>5</v>
      </c>
      <c r="Q268" s="111">
        <v>5</v>
      </c>
      <c r="R268" s="111">
        <v>5</v>
      </c>
      <c r="S268" s="111">
        <v>5</v>
      </c>
      <c r="T268" s="111">
        <v>5</v>
      </c>
      <c r="U268" s="111">
        <v>5</v>
      </c>
      <c r="V268" s="111">
        <v>5</v>
      </c>
      <c r="W268" s="111">
        <v>5</v>
      </c>
      <c r="X268" s="111">
        <v>5</v>
      </c>
      <c r="Y268" s="111">
        <v>5</v>
      </c>
      <c r="Z268" s="111">
        <v>5</v>
      </c>
      <c r="AA268" s="111">
        <v>5</v>
      </c>
      <c r="AB268" s="111">
        <v>5</v>
      </c>
      <c r="AC268" s="111">
        <v>5</v>
      </c>
      <c r="AD268" s="111">
        <v>5</v>
      </c>
      <c r="AE268" s="111">
        <v>5</v>
      </c>
      <c r="AF268" s="111">
        <v>5</v>
      </c>
      <c r="AG268" s="111">
        <v>5</v>
      </c>
      <c r="AH268" s="111">
        <v>5</v>
      </c>
      <c r="AI268" s="111">
        <v>5</v>
      </c>
      <c r="AJ268" s="111">
        <v>5</v>
      </c>
      <c r="AK268" s="111">
        <v>5</v>
      </c>
      <c r="AL268" s="111">
        <v>5</v>
      </c>
      <c r="AM268" s="111">
        <v>5</v>
      </c>
      <c r="AN268" s="111">
        <v>5</v>
      </c>
      <c r="AO268" s="111">
        <v>5</v>
      </c>
      <c r="AP268" s="111">
        <v>5</v>
      </c>
      <c r="AQ268" s="111">
        <v>5</v>
      </c>
      <c r="AR268" s="111">
        <v>5</v>
      </c>
      <c r="AS268" s="111">
        <v>5</v>
      </c>
      <c r="AT268" s="111">
        <v>5</v>
      </c>
      <c r="AU268" s="111">
        <v>5</v>
      </c>
      <c r="AV268" s="50" t="s">
        <v>199</v>
      </c>
      <c r="AW268" s="50" t="s">
        <v>199</v>
      </c>
      <c r="AX268" s="50" t="s">
        <v>199</v>
      </c>
      <c r="AY268" s="50" t="s">
        <v>200</v>
      </c>
      <c r="AZ268" s="50" t="s">
        <v>200</v>
      </c>
      <c r="BA268" s="50" t="s">
        <v>200</v>
      </c>
      <c r="BB268" s="50" t="s">
        <v>200</v>
      </c>
      <c r="BC268" s="50" t="s">
        <v>200</v>
      </c>
      <c r="BD268" s="50" t="s">
        <v>200</v>
      </c>
      <c r="BE268" s="50" t="s">
        <v>200</v>
      </c>
      <c r="BF268" s="50" t="s">
        <v>200</v>
      </c>
      <c r="BG268" s="50" t="s">
        <v>200</v>
      </c>
      <c r="BH268" s="50" t="s">
        <v>200</v>
      </c>
      <c r="BI268" s="50" t="s">
        <v>200</v>
      </c>
      <c r="BJ268" s="50" t="s">
        <v>200</v>
      </c>
      <c r="BK268" s="50" t="s">
        <v>200</v>
      </c>
      <c r="BL268" s="50" t="s">
        <v>200</v>
      </c>
      <c r="BM268" s="50" t="s">
        <v>436</v>
      </c>
      <c r="BN268" s="50" t="s">
        <v>318</v>
      </c>
      <c r="BO268" s="50" t="s">
        <v>91</v>
      </c>
      <c r="BP268" s="50" t="s">
        <v>286</v>
      </c>
      <c r="BQ268" s="50" t="s">
        <v>287</v>
      </c>
      <c r="BR268" s="50" t="s">
        <v>414</v>
      </c>
      <c r="BS268" s="111">
        <v>4</v>
      </c>
      <c r="BT268" s="50" t="s">
        <v>286</v>
      </c>
      <c r="BU268" s="50" t="s">
        <v>312</v>
      </c>
      <c r="BV268" s="50" t="s">
        <v>288</v>
      </c>
      <c r="BW268" s="50" t="s">
        <v>289</v>
      </c>
      <c r="BX268" s="50" t="s">
        <v>300</v>
      </c>
      <c r="BY268" s="50" t="s">
        <v>288</v>
      </c>
      <c r="BZ268" s="50" t="s">
        <v>287</v>
      </c>
      <c r="CA268" s="50"/>
      <c r="CB268" s="50" t="s">
        <v>287</v>
      </c>
      <c r="CC268" s="50" t="s">
        <v>287</v>
      </c>
      <c r="CD268" s="50" t="s">
        <v>287</v>
      </c>
      <c r="CE268" s="50"/>
      <c r="CF268" s="50" t="s">
        <v>287</v>
      </c>
      <c r="CG268" s="50" t="s">
        <v>287</v>
      </c>
      <c r="CH268" s="50" t="s">
        <v>486</v>
      </c>
      <c r="CI268" s="50" t="s">
        <v>287</v>
      </c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</row>
    <row r="269" spans="1:97" ht="36.75" customHeight="1" thickBot="1">
      <c r="A269" s="49">
        <v>46091.448287037034</v>
      </c>
      <c r="B269" s="50" t="s">
        <v>38</v>
      </c>
      <c r="C269" s="50" t="s">
        <v>45</v>
      </c>
      <c r="D269" s="50" t="s">
        <v>369</v>
      </c>
      <c r="E269" s="50" t="s">
        <v>285</v>
      </c>
      <c r="F269" s="50" t="s">
        <v>286</v>
      </c>
      <c r="G269" s="50" t="s">
        <v>73</v>
      </c>
      <c r="H269" s="50" t="s">
        <v>354</v>
      </c>
      <c r="I269" s="50" t="s">
        <v>92</v>
      </c>
      <c r="J269" s="50" t="s">
        <v>286</v>
      </c>
      <c r="K269" s="50" t="s">
        <v>287</v>
      </c>
      <c r="L269" s="50" t="s">
        <v>336</v>
      </c>
      <c r="M269" s="50" t="s">
        <v>7</v>
      </c>
      <c r="N269" s="111">
        <v>5</v>
      </c>
      <c r="O269" s="111">
        <v>5</v>
      </c>
      <c r="P269" s="111">
        <v>5</v>
      </c>
      <c r="Q269" s="111">
        <v>5</v>
      </c>
      <c r="R269" s="111">
        <v>5</v>
      </c>
      <c r="S269" s="111">
        <v>5</v>
      </c>
      <c r="T269" s="111">
        <v>5</v>
      </c>
      <c r="U269" s="111">
        <v>5</v>
      </c>
      <c r="V269" s="111">
        <v>5</v>
      </c>
      <c r="W269" s="111">
        <v>5</v>
      </c>
      <c r="X269" s="111">
        <v>5</v>
      </c>
      <c r="Y269" s="111">
        <v>5</v>
      </c>
      <c r="Z269" s="111">
        <v>5</v>
      </c>
      <c r="AA269" s="111">
        <v>5</v>
      </c>
      <c r="AB269" s="111">
        <v>5</v>
      </c>
      <c r="AC269" s="111">
        <v>5</v>
      </c>
      <c r="AD269" s="111">
        <v>5</v>
      </c>
      <c r="AE269" s="111">
        <v>5</v>
      </c>
      <c r="AF269" s="111">
        <v>5</v>
      </c>
      <c r="AG269" s="111">
        <v>5</v>
      </c>
      <c r="AH269" s="111">
        <v>5</v>
      </c>
      <c r="AI269" s="111">
        <v>5</v>
      </c>
      <c r="AJ269" s="111">
        <v>5</v>
      </c>
      <c r="AK269" s="111">
        <v>5</v>
      </c>
      <c r="AL269" s="111">
        <v>5</v>
      </c>
      <c r="AM269" s="111">
        <v>5</v>
      </c>
      <c r="AN269" s="111">
        <v>5</v>
      </c>
      <c r="AO269" s="111">
        <v>5</v>
      </c>
      <c r="AP269" s="111">
        <v>5</v>
      </c>
      <c r="AQ269" s="111">
        <v>5</v>
      </c>
      <c r="AR269" s="111">
        <v>5</v>
      </c>
      <c r="AS269" s="111">
        <v>5</v>
      </c>
      <c r="AT269" s="111">
        <v>5</v>
      </c>
      <c r="AU269" s="111">
        <v>5</v>
      </c>
      <c r="AV269" s="50" t="s">
        <v>199</v>
      </c>
      <c r="AW269" s="50" t="s">
        <v>199</v>
      </c>
      <c r="AX269" s="50" t="s">
        <v>199</v>
      </c>
      <c r="AY269" s="50" t="s">
        <v>200</v>
      </c>
      <c r="AZ269" s="50" t="s">
        <v>200</v>
      </c>
      <c r="BA269" s="50" t="s">
        <v>200</v>
      </c>
      <c r="BB269" s="50" t="s">
        <v>200</v>
      </c>
      <c r="BC269" s="50" t="s">
        <v>200</v>
      </c>
      <c r="BD269" s="50" t="s">
        <v>200</v>
      </c>
      <c r="BE269" s="50" t="s">
        <v>200</v>
      </c>
      <c r="BF269" s="50" t="s">
        <v>200</v>
      </c>
      <c r="BG269" s="50" t="s">
        <v>200</v>
      </c>
      <c r="BH269" s="50" t="s">
        <v>200</v>
      </c>
      <c r="BI269" s="50" t="s">
        <v>200</v>
      </c>
      <c r="BJ269" s="50" t="s">
        <v>200</v>
      </c>
      <c r="BK269" s="50" t="s">
        <v>200</v>
      </c>
      <c r="BL269" s="50" t="s">
        <v>200</v>
      </c>
      <c r="BM269" s="50" t="s">
        <v>616</v>
      </c>
      <c r="BN269" s="50" t="s">
        <v>318</v>
      </c>
      <c r="BO269" s="50" t="s">
        <v>91</v>
      </c>
      <c r="BP269" s="50" t="s">
        <v>286</v>
      </c>
      <c r="BQ269" s="50" t="s">
        <v>287</v>
      </c>
      <c r="BR269" s="50" t="s">
        <v>416</v>
      </c>
      <c r="BS269" s="111">
        <v>4</v>
      </c>
      <c r="BT269" s="50" t="s">
        <v>286</v>
      </c>
      <c r="BU269" s="50" t="s">
        <v>312</v>
      </c>
      <c r="BV269" s="50" t="s">
        <v>288</v>
      </c>
      <c r="BW269" s="50" t="s">
        <v>304</v>
      </c>
      <c r="BX269" s="50" t="s">
        <v>300</v>
      </c>
      <c r="BY269" s="50" t="s">
        <v>288</v>
      </c>
      <c r="BZ269" s="50" t="s">
        <v>287</v>
      </c>
      <c r="CA269" s="50"/>
      <c r="CB269" s="50" t="s">
        <v>287</v>
      </c>
      <c r="CC269" s="50" t="s">
        <v>287</v>
      </c>
      <c r="CD269" s="50" t="s">
        <v>287</v>
      </c>
      <c r="CE269" s="50"/>
      <c r="CF269" s="50" t="s">
        <v>287</v>
      </c>
      <c r="CG269" s="50" t="s">
        <v>287</v>
      </c>
      <c r="CH269" s="50" t="s">
        <v>486</v>
      </c>
      <c r="CI269" s="50" t="s">
        <v>287</v>
      </c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</row>
    <row r="270" spans="1:97" ht="36.75" customHeight="1" thickBot="1">
      <c r="A270" s="49">
        <v>46091.449247685188</v>
      </c>
      <c r="B270" s="50" t="s">
        <v>38</v>
      </c>
      <c r="C270" s="50" t="s">
        <v>45</v>
      </c>
      <c r="D270" s="50" t="s">
        <v>369</v>
      </c>
      <c r="E270" s="50" t="s">
        <v>285</v>
      </c>
      <c r="F270" s="50"/>
      <c r="G270" s="50" t="s">
        <v>73</v>
      </c>
      <c r="H270" s="50" t="s">
        <v>438</v>
      </c>
      <c r="I270" s="50" t="s">
        <v>91</v>
      </c>
      <c r="J270" s="50" t="s">
        <v>286</v>
      </c>
      <c r="K270" s="50" t="s">
        <v>291</v>
      </c>
      <c r="L270" s="50" t="s">
        <v>286</v>
      </c>
      <c r="M270" s="50" t="s">
        <v>319</v>
      </c>
      <c r="N270" s="111">
        <v>5</v>
      </c>
      <c r="O270" s="111">
        <v>5</v>
      </c>
      <c r="P270" s="111">
        <v>5</v>
      </c>
      <c r="Q270" s="111">
        <v>5</v>
      </c>
      <c r="R270" s="111">
        <v>5</v>
      </c>
      <c r="S270" s="111">
        <v>6</v>
      </c>
      <c r="T270" s="111">
        <v>5</v>
      </c>
      <c r="U270" s="111">
        <v>5</v>
      </c>
      <c r="V270" s="111">
        <v>6</v>
      </c>
      <c r="W270" s="111">
        <v>6</v>
      </c>
      <c r="X270" s="111">
        <v>6</v>
      </c>
      <c r="Y270" s="111">
        <v>6</v>
      </c>
      <c r="Z270" s="111">
        <v>5</v>
      </c>
      <c r="AA270" s="111">
        <v>6</v>
      </c>
      <c r="AB270" s="111">
        <v>5</v>
      </c>
      <c r="AC270" s="111">
        <v>5</v>
      </c>
      <c r="AD270" s="111">
        <v>5</v>
      </c>
      <c r="AE270" s="111">
        <v>5</v>
      </c>
      <c r="AF270" s="111">
        <v>5</v>
      </c>
      <c r="AG270" s="111">
        <v>5</v>
      </c>
      <c r="AH270" s="111">
        <v>5</v>
      </c>
      <c r="AI270" s="111">
        <v>5</v>
      </c>
      <c r="AJ270" s="111">
        <v>5</v>
      </c>
      <c r="AK270" s="111">
        <v>5</v>
      </c>
      <c r="AL270" s="111">
        <v>5</v>
      </c>
      <c r="AM270" s="111">
        <v>5</v>
      </c>
      <c r="AN270" s="111">
        <v>5</v>
      </c>
      <c r="AO270" s="111">
        <v>5</v>
      </c>
      <c r="AP270" s="111">
        <v>5</v>
      </c>
      <c r="AQ270" s="111">
        <v>6</v>
      </c>
      <c r="AR270" s="111">
        <v>5</v>
      </c>
      <c r="AS270" s="111">
        <v>5</v>
      </c>
      <c r="AT270" s="111">
        <v>5</v>
      </c>
      <c r="AU270" s="111">
        <v>5</v>
      </c>
      <c r="AV270" s="50" t="s">
        <v>202</v>
      </c>
      <c r="AW270" s="50" t="s">
        <v>202</v>
      </c>
      <c r="AX270" s="50" t="s">
        <v>199</v>
      </c>
      <c r="AY270" s="50" t="s">
        <v>199</v>
      </c>
      <c r="AZ270" s="50" t="s">
        <v>202</v>
      </c>
      <c r="BA270" s="50" t="s">
        <v>199</v>
      </c>
      <c r="BB270" s="50" t="s">
        <v>202</v>
      </c>
      <c r="BC270" s="50" t="s">
        <v>202</v>
      </c>
      <c r="BD270" s="50" t="s">
        <v>202</v>
      </c>
      <c r="BE270" s="50" t="s">
        <v>202</v>
      </c>
      <c r="BF270" s="50" t="s">
        <v>199</v>
      </c>
      <c r="BG270" s="50" t="s">
        <v>202</v>
      </c>
      <c r="BH270" s="50" t="s">
        <v>199</v>
      </c>
      <c r="BI270" s="50" t="s">
        <v>202</v>
      </c>
      <c r="BJ270" s="50" t="s">
        <v>202</v>
      </c>
      <c r="BK270" s="50" t="s">
        <v>202</v>
      </c>
      <c r="BL270" s="50" t="s">
        <v>202</v>
      </c>
      <c r="BM270" s="50" t="s">
        <v>436</v>
      </c>
      <c r="BN270" s="50" t="s">
        <v>479</v>
      </c>
      <c r="BO270" s="50" t="s">
        <v>91</v>
      </c>
      <c r="BP270" s="50" t="s">
        <v>286</v>
      </c>
      <c r="BQ270" s="50" t="s">
        <v>287</v>
      </c>
      <c r="BR270" s="50" t="s">
        <v>372</v>
      </c>
      <c r="BS270" s="111">
        <v>5</v>
      </c>
      <c r="BT270" s="50" t="s">
        <v>286</v>
      </c>
      <c r="BU270" s="50" t="s">
        <v>348</v>
      </c>
      <c r="BV270" s="50" t="s">
        <v>288</v>
      </c>
      <c r="BW270" s="50" t="s">
        <v>350</v>
      </c>
      <c r="BX270" s="50" t="s">
        <v>387</v>
      </c>
      <c r="BY270" s="50" t="s">
        <v>288</v>
      </c>
      <c r="BZ270" s="50" t="s">
        <v>287</v>
      </c>
      <c r="CA270" s="50"/>
      <c r="CB270" s="50" t="s">
        <v>287</v>
      </c>
      <c r="CC270" s="50" t="s">
        <v>287</v>
      </c>
      <c r="CD270" s="50" t="s">
        <v>287</v>
      </c>
      <c r="CE270" s="50"/>
      <c r="CF270" s="50" t="s">
        <v>287</v>
      </c>
      <c r="CG270" s="50" t="s">
        <v>287</v>
      </c>
      <c r="CH270" s="50" t="s">
        <v>486</v>
      </c>
      <c r="CI270" s="50" t="s">
        <v>287</v>
      </c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</row>
    <row r="271" spans="1:97" ht="36.75" customHeight="1" thickBot="1">
      <c r="A271" s="49">
        <v>46091.451342592591</v>
      </c>
      <c r="B271" s="50" t="s">
        <v>40</v>
      </c>
      <c r="C271" s="50" t="s">
        <v>45</v>
      </c>
      <c r="D271" s="50" t="s">
        <v>374</v>
      </c>
      <c r="E271" s="50" t="s">
        <v>61</v>
      </c>
      <c r="F271" s="50" t="s">
        <v>286</v>
      </c>
      <c r="G271" s="50" t="s">
        <v>292</v>
      </c>
      <c r="H271" s="50" t="s">
        <v>564</v>
      </c>
      <c r="I271" s="50" t="s">
        <v>81</v>
      </c>
      <c r="J271" s="50" t="s">
        <v>286</v>
      </c>
      <c r="K271" s="50" t="s">
        <v>287</v>
      </c>
      <c r="L271" s="50" t="s">
        <v>336</v>
      </c>
      <c r="M271" s="50" t="s">
        <v>7</v>
      </c>
      <c r="N271" s="111">
        <v>5</v>
      </c>
      <c r="O271" s="111">
        <v>5</v>
      </c>
      <c r="P271" s="111">
        <v>5</v>
      </c>
      <c r="Q271" s="111">
        <v>5</v>
      </c>
      <c r="R271" s="111">
        <v>5</v>
      </c>
      <c r="S271" s="111">
        <v>5</v>
      </c>
      <c r="T271" s="111">
        <v>5</v>
      </c>
      <c r="U271" s="111">
        <v>5</v>
      </c>
      <c r="V271" s="111">
        <v>5</v>
      </c>
      <c r="W271" s="111">
        <v>5</v>
      </c>
      <c r="X271" s="111">
        <v>5</v>
      </c>
      <c r="Y271" s="111">
        <v>5</v>
      </c>
      <c r="Z271" s="111">
        <v>5</v>
      </c>
      <c r="AA271" s="111">
        <v>5</v>
      </c>
      <c r="AB271" s="111">
        <v>5</v>
      </c>
      <c r="AC271" s="111">
        <v>5</v>
      </c>
      <c r="AD271" s="111">
        <v>5</v>
      </c>
      <c r="AE271" s="111">
        <v>5</v>
      </c>
      <c r="AF271" s="111">
        <v>5</v>
      </c>
      <c r="AG271" s="111">
        <v>5</v>
      </c>
      <c r="AH271" s="111">
        <v>5</v>
      </c>
      <c r="AI271" s="111">
        <v>5</v>
      </c>
      <c r="AJ271" s="111">
        <v>5</v>
      </c>
      <c r="AK271" s="111">
        <v>5</v>
      </c>
      <c r="AL271" s="111">
        <v>5</v>
      </c>
      <c r="AM271" s="111">
        <v>5</v>
      </c>
      <c r="AN271" s="111">
        <v>5</v>
      </c>
      <c r="AO271" s="111">
        <v>5</v>
      </c>
      <c r="AP271" s="111">
        <v>5</v>
      </c>
      <c r="AQ271" s="111">
        <v>5</v>
      </c>
      <c r="AR271" s="111">
        <v>5</v>
      </c>
      <c r="AS271" s="111">
        <v>5</v>
      </c>
      <c r="AT271" s="111">
        <v>5</v>
      </c>
      <c r="AU271" s="111">
        <v>5</v>
      </c>
      <c r="AV271" s="50" t="s">
        <v>199</v>
      </c>
      <c r="AW271" s="50" t="s">
        <v>199</v>
      </c>
      <c r="AX271" s="50" t="s">
        <v>199</v>
      </c>
      <c r="AY271" s="50" t="s">
        <v>200</v>
      </c>
      <c r="AZ271" s="50" t="s">
        <v>200</v>
      </c>
      <c r="BA271" s="50" t="s">
        <v>200</v>
      </c>
      <c r="BB271" s="50" t="s">
        <v>200</v>
      </c>
      <c r="BC271" s="50" t="s">
        <v>200</v>
      </c>
      <c r="BD271" s="50" t="s">
        <v>200</v>
      </c>
      <c r="BE271" s="50" t="s">
        <v>200</v>
      </c>
      <c r="BF271" s="50" t="s">
        <v>200</v>
      </c>
      <c r="BG271" s="50" t="s">
        <v>200</v>
      </c>
      <c r="BH271" s="50" t="s">
        <v>200</v>
      </c>
      <c r="BI271" s="50" t="s">
        <v>200</v>
      </c>
      <c r="BJ271" s="50" t="s">
        <v>200</v>
      </c>
      <c r="BK271" s="50" t="s">
        <v>200</v>
      </c>
      <c r="BL271" s="50" t="s">
        <v>200</v>
      </c>
      <c r="BM271" s="50" t="s">
        <v>436</v>
      </c>
      <c r="BN271" s="50" t="s">
        <v>565</v>
      </c>
      <c r="BO271" s="50" t="s">
        <v>91</v>
      </c>
      <c r="BP271" s="50" t="s">
        <v>286</v>
      </c>
      <c r="BQ271" s="50" t="s">
        <v>287</v>
      </c>
      <c r="BR271" s="50" t="s">
        <v>373</v>
      </c>
      <c r="BS271" s="111">
        <v>4</v>
      </c>
      <c r="BT271" s="50" t="s">
        <v>286</v>
      </c>
      <c r="BU271" s="50" t="s">
        <v>312</v>
      </c>
      <c r="BV271" s="50" t="s">
        <v>288</v>
      </c>
      <c r="BW271" s="50" t="s">
        <v>297</v>
      </c>
      <c r="BX271" s="50" t="s">
        <v>296</v>
      </c>
      <c r="BY271" s="50" t="s">
        <v>288</v>
      </c>
      <c r="BZ271" s="50" t="s">
        <v>287</v>
      </c>
      <c r="CA271" s="50"/>
      <c r="CB271" s="50" t="s">
        <v>287</v>
      </c>
      <c r="CC271" s="50" t="s">
        <v>287</v>
      </c>
      <c r="CD271" s="50" t="s">
        <v>287</v>
      </c>
      <c r="CE271" s="50"/>
      <c r="CF271" s="50" t="s">
        <v>287</v>
      </c>
      <c r="CG271" s="50" t="s">
        <v>287</v>
      </c>
      <c r="CH271" s="50" t="s">
        <v>486</v>
      </c>
      <c r="CI271" s="50" t="s">
        <v>287</v>
      </c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</row>
    <row r="272" spans="1:97" ht="36.75" customHeight="1" thickBot="1">
      <c r="A272" s="49">
        <v>46091.452453703707</v>
      </c>
      <c r="B272" s="50" t="s">
        <v>34</v>
      </c>
      <c r="C272" s="50" t="s">
        <v>45</v>
      </c>
      <c r="D272" s="50" t="s">
        <v>369</v>
      </c>
      <c r="E272" s="50" t="s">
        <v>285</v>
      </c>
      <c r="F272" s="50" t="s">
        <v>286</v>
      </c>
      <c r="G272" s="50" t="s">
        <v>73</v>
      </c>
      <c r="H272" s="50" t="s">
        <v>566</v>
      </c>
      <c r="I272" s="50" t="s">
        <v>91</v>
      </c>
      <c r="J272" s="50" t="s">
        <v>286</v>
      </c>
      <c r="K272" s="50" t="s">
        <v>291</v>
      </c>
      <c r="L272" s="50" t="s">
        <v>286</v>
      </c>
      <c r="M272" s="50" t="s">
        <v>319</v>
      </c>
      <c r="N272" s="111">
        <v>5</v>
      </c>
      <c r="O272" s="111">
        <v>5</v>
      </c>
      <c r="P272" s="111">
        <v>5</v>
      </c>
      <c r="Q272" s="111">
        <v>6</v>
      </c>
      <c r="R272" s="111">
        <v>6</v>
      </c>
      <c r="S272" s="111">
        <v>6</v>
      </c>
      <c r="T272" s="111">
        <v>5</v>
      </c>
      <c r="U272" s="111">
        <v>5</v>
      </c>
      <c r="V272" s="111">
        <v>6</v>
      </c>
      <c r="W272" s="111">
        <v>6</v>
      </c>
      <c r="X272" s="111">
        <v>6</v>
      </c>
      <c r="Y272" s="111">
        <v>6</v>
      </c>
      <c r="Z272" s="111">
        <v>5</v>
      </c>
      <c r="AA272" s="111">
        <v>6</v>
      </c>
      <c r="AB272" s="111">
        <v>5</v>
      </c>
      <c r="AC272" s="111">
        <v>5</v>
      </c>
      <c r="AD272" s="111">
        <v>5</v>
      </c>
      <c r="AE272" s="111">
        <v>5</v>
      </c>
      <c r="AF272" s="111">
        <v>5</v>
      </c>
      <c r="AG272" s="111">
        <v>5</v>
      </c>
      <c r="AH272" s="111">
        <v>5</v>
      </c>
      <c r="AI272" s="111">
        <v>5</v>
      </c>
      <c r="AJ272" s="111">
        <v>5</v>
      </c>
      <c r="AK272" s="111">
        <v>5</v>
      </c>
      <c r="AL272" s="111">
        <v>5</v>
      </c>
      <c r="AM272" s="111">
        <v>5</v>
      </c>
      <c r="AN272" s="111">
        <v>5</v>
      </c>
      <c r="AO272" s="111">
        <v>5</v>
      </c>
      <c r="AP272" s="111">
        <v>5</v>
      </c>
      <c r="AQ272" s="111">
        <v>6</v>
      </c>
      <c r="AR272" s="111">
        <v>5</v>
      </c>
      <c r="AS272" s="111">
        <v>5</v>
      </c>
      <c r="AT272" s="111">
        <v>5</v>
      </c>
      <c r="AU272" s="111">
        <v>5</v>
      </c>
      <c r="AV272" s="50" t="s">
        <v>202</v>
      </c>
      <c r="AW272" s="50" t="s">
        <v>202</v>
      </c>
      <c r="AX272" s="50" t="s">
        <v>199</v>
      </c>
      <c r="AY272" s="50" t="s">
        <v>199</v>
      </c>
      <c r="AZ272" s="50" t="s">
        <v>202</v>
      </c>
      <c r="BA272" s="50" t="s">
        <v>199</v>
      </c>
      <c r="BB272" s="50" t="s">
        <v>202</v>
      </c>
      <c r="BC272" s="50" t="s">
        <v>202</v>
      </c>
      <c r="BD272" s="50" t="s">
        <v>202</v>
      </c>
      <c r="BE272" s="50" t="s">
        <v>202</v>
      </c>
      <c r="BF272" s="50" t="s">
        <v>199</v>
      </c>
      <c r="BG272" s="50" t="s">
        <v>202</v>
      </c>
      <c r="BH272" s="50" t="s">
        <v>199</v>
      </c>
      <c r="BI272" s="50" t="s">
        <v>202</v>
      </c>
      <c r="BJ272" s="50" t="s">
        <v>199</v>
      </c>
      <c r="BK272" s="50" t="s">
        <v>202</v>
      </c>
      <c r="BL272" s="50" t="s">
        <v>202</v>
      </c>
      <c r="BM272" s="50" t="s">
        <v>436</v>
      </c>
      <c r="BN272" s="50" t="s">
        <v>480</v>
      </c>
      <c r="BO272" s="50" t="s">
        <v>91</v>
      </c>
      <c r="BP272" s="50"/>
      <c r="BQ272" s="50" t="s">
        <v>287</v>
      </c>
      <c r="BR272" s="50" t="s">
        <v>372</v>
      </c>
      <c r="BS272" s="111">
        <v>5</v>
      </c>
      <c r="BT272" s="50" t="s">
        <v>286</v>
      </c>
      <c r="BU272" s="50" t="s">
        <v>348</v>
      </c>
      <c r="BV272" s="50" t="s">
        <v>288</v>
      </c>
      <c r="BW272" s="50" t="s">
        <v>350</v>
      </c>
      <c r="BX272" s="50" t="s">
        <v>387</v>
      </c>
      <c r="BY272" s="50" t="s">
        <v>288</v>
      </c>
      <c r="BZ272" s="50" t="s">
        <v>287</v>
      </c>
      <c r="CA272" s="50"/>
      <c r="CB272" s="50" t="s">
        <v>287</v>
      </c>
      <c r="CC272" s="50" t="s">
        <v>287</v>
      </c>
      <c r="CD272" s="50" t="s">
        <v>287</v>
      </c>
      <c r="CE272" s="50"/>
      <c r="CF272" s="50" t="s">
        <v>287</v>
      </c>
      <c r="CG272" s="50" t="s">
        <v>287</v>
      </c>
      <c r="CH272" s="50" t="s">
        <v>486</v>
      </c>
      <c r="CI272" s="50" t="s">
        <v>287</v>
      </c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</row>
    <row r="273" spans="1:97" ht="36.75" customHeight="1" thickBot="1">
      <c r="A273" s="49">
        <v>46091.455127314817</v>
      </c>
      <c r="B273" s="50" t="s">
        <v>40</v>
      </c>
      <c r="C273" s="50" t="s">
        <v>45</v>
      </c>
      <c r="D273" s="50" t="s">
        <v>374</v>
      </c>
      <c r="E273" s="50" t="s">
        <v>61</v>
      </c>
      <c r="F273" s="50" t="s">
        <v>286</v>
      </c>
      <c r="G273" s="50" t="s">
        <v>73</v>
      </c>
      <c r="H273" s="50" t="s">
        <v>415</v>
      </c>
      <c r="I273" s="50" t="s">
        <v>81</v>
      </c>
      <c r="J273" s="50" t="s">
        <v>286</v>
      </c>
      <c r="K273" s="50" t="s">
        <v>287</v>
      </c>
      <c r="L273" s="50" t="s">
        <v>336</v>
      </c>
      <c r="M273" s="50" t="s">
        <v>7</v>
      </c>
      <c r="N273" s="111">
        <v>5</v>
      </c>
      <c r="O273" s="111">
        <v>5</v>
      </c>
      <c r="P273" s="111">
        <v>5</v>
      </c>
      <c r="Q273" s="111">
        <v>5</v>
      </c>
      <c r="R273" s="111">
        <v>5</v>
      </c>
      <c r="S273" s="111">
        <v>5</v>
      </c>
      <c r="T273" s="111">
        <v>5</v>
      </c>
      <c r="U273" s="111">
        <v>5</v>
      </c>
      <c r="V273" s="111">
        <v>5</v>
      </c>
      <c r="W273" s="111">
        <v>5</v>
      </c>
      <c r="X273" s="111">
        <v>5</v>
      </c>
      <c r="Y273" s="111">
        <v>5</v>
      </c>
      <c r="Z273" s="111">
        <v>5</v>
      </c>
      <c r="AA273" s="111">
        <v>5</v>
      </c>
      <c r="AB273" s="111">
        <v>5</v>
      </c>
      <c r="AC273" s="111">
        <v>5</v>
      </c>
      <c r="AD273" s="111">
        <v>5</v>
      </c>
      <c r="AE273" s="111">
        <v>5</v>
      </c>
      <c r="AF273" s="111">
        <v>5</v>
      </c>
      <c r="AG273" s="111">
        <v>5</v>
      </c>
      <c r="AH273" s="111">
        <v>5</v>
      </c>
      <c r="AI273" s="111">
        <v>5</v>
      </c>
      <c r="AJ273" s="111">
        <v>5</v>
      </c>
      <c r="AK273" s="111">
        <v>5</v>
      </c>
      <c r="AL273" s="111">
        <v>5</v>
      </c>
      <c r="AM273" s="111">
        <v>5</v>
      </c>
      <c r="AN273" s="111">
        <v>5</v>
      </c>
      <c r="AO273" s="111">
        <v>5</v>
      </c>
      <c r="AP273" s="111">
        <v>5</v>
      </c>
      <c r="AQ273" s="111">
        <v>5</v>
      </c>
      <c r="AR273" s="111">
        <v>5</v>
      </c>
      <c r="AS273" s="111">
        <v>5</v>
      </c>
      <c r="AT273" s="111">
        <v>5</v>
      </c>
      <c r="AU273" s="111">
        <v>5</v>
      </c>
      <c r="AV273" s="50" t="s">
        <v>199</v>
      </c>
      <c r="AW273" s="50" t="s">
        <v>199</v>
      </c>
      <c r="AX273" s="50" t="s">
        <v>199</v>
      </c>
      <c r="AY273" s="50" t="s">
        <v>200</v>
      </c>
      <c r="AZ273" s="50" t="s">
        <v>200</v>
      </c>
      <c r="BA273" s="50" t="s">
        <v>200</v>
      </c>
      <c r="BB273" s="50" t="s">
        <v>200</v>
      </c>
      <c r="BC273" s="50" t="s">
        <v>200</v>
      </c>
      <c r="BD273" s="50" t="s">
        <v>200</v>
      </c>
      <c r="BE273" s="50" t="s">
        <v>200</v>
      </c>
      <c r="BF273" s="50" t="s">
        <v>200</v>
      </c>
      <c r="BG273" s="50" t="s">
        <v>200</v>
      </c>
      <c r="BH273" s="50" t="s">
        <v>200</v>
      </c>
      <c r="BI273" s="50" t="s">
        <v>200</v>
      </c>
      <c r="BJ273" s="50" t="s">
        <v>200</v>
      </c>
      <c r="BK273" s="50" t="s">
        <v>200</v>
      </c>
      <c r="BL273" s="50" t="s">
        <v>200</v>
      </c>
      <c r="BM273" s="50" t="s">
        <v>436</v>
      </c>
      <c r="BN273" s="50" t="s">
        <v>318</v>
      </c>
      <c r="BO273" s="50" t="s">
        <v>91</v>
      </c>
      <c r="BP273" s="50" t="s">
        <v>286</v>
      </c>
      <c r="BQ273" s="50" t="s">
        <v>287</v>
      </c>
      <c r="BR273" s="50" t="s">
        <v>412</v>
      </c>
      <c r="BS273" s="111">
        <v>4</v>
      </c>
      <c r="BT273" s="50" t="s">
        <v>286</v>
      </c>
      <c r="BU273" s="50" t="s">
        <v>312</v>
      </c>
      <c r="BV273" s="50" t="s">
        <v>288</v>
      </c>
      <c r="BW273" s="50" t="s">
        <v>303</v>
      </c>
      <c r="BX273" s="50" t="s">
        <v>300</v>
      </c>
      <c r="BY273" s="50" t="s">
        <v>288</v>
      </c>
      <c r="BZ273" s="50" t="s">
        <v>287</v>
      </c>
      <c r="CA273" s="50"/>
      <c r="CB273" s="50" t="s">
        <v>287</v>
      </c>
      <c r="CC273" s="50" t="s">
        <v>287</v>
      </c>
      <c r="CD273" s="50" t="s">
        <v>287</v>
      </c>
      <c r="CE273" s="50"/>
      <c r="CF273" s="50" t="s">
        <v>287</v>
      </c>
      <c r="CG273" s="50" t="s">
        <v>287</v>
      </c>
      <c r="CH273" s="50" t="s">
        <v>486</v>
      </c>
      <c r="CI273" s="50" t="s">
        <v>287</v>
      </c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</row>
    <row r="274" spans="1:97" ht="36.75" customHeight="1" thickBot="1">
      <c r="A274" s="49">
        <v>46091.459374999999</v>
      </c>
      <c r="B274" s="50" t="s">
        <v>40</v>
      </c>
      <c r="C274" s="50" t="s">
        <v>45</v>
      </c>
      <c r="D274" s="50" t="s">
        <v>374</v>
      </c>
      <c r="E274" s="50" t="s">
        <v>53</v>
      </c>
      <c r="F274" s="50" t="s">
        <v>286</v>
      </c>
      <c r="G274" s="50" t="s">
        <v>292</v>
      </c>
      <c r="H274" s="50" t="s">
        <v>309</v>
      </c>
      <c r="I274" s="50" t="s">
        <v>81</v>
      </c>
      <c r="J274" s="50" t="s">
        <v>286</v>
      </c>
      <c r="K274" s="50" t="s">
        <v>287</v>
      </c>
      <c r="L274" s="50" t="s">
        <v>336</v>
      </c>
      <c r="M274" s="50" t="s">
        <v>7</v>
      </c>
      <c r="N274" s="111">
        <v>5</v>
      </c>
      <c r="O274" s="111">
        <v>5</v>
      </c>
      <c r="P274" s="111">
        <v>5</v>
      </c>
      <c r="Q274" s="111">
        <v>5</v>
      </c>
      <c r="R274" s="111">
        <v>5</v>
      </c>
      <c r="S274" s="111">
        <v>5</v>
      </c>
      <c r="T274" s="111">
        <v>5</v>
      </c>
      <c r="U274" s="111">
        <v>5</v>
      </c>
      <c r="V274" s="111">
        <v>5</v>
      </c>
      <c r="W274" s="111">
        <v>5</v>
      </c>
      <c r="X274" s="111">
        <v>5</v>
      </c>
      <c r="Y274" s="111">
        <v>5</v>
      </c>
      <c r="Z274" s="111">
        <v>5</v>
      </c>
      <c r="AA274" s="111">
        <v>5</v>
      </c>
      <c r="AB274" s="111">
        <v>5</v>
      </c>
      <c r="AC274" s="111">
        <v>5</v>
      </c>
      <c r="AD274" s="111">
        <v>5</v>
      </c>
      <c r="AE274" s="111">
        <v>5</v>
      </c>
      <c r="AF274" s="111">
        <v>5</v>
      </c>
      <c r="AG274" s="111">
        <v>5</v>
      </c>
      <c r="AH274" s="111">
        <v>5</v>
      </c>
      <c r="AI274" s="111">
        <v>5</v>
      </c>
      <c r="AJ274" s="111">
        <v>5</v>
      </c>
      <c r="AK274" s="111">
        <v>5</v>
      </c>
      <c r="AL274" s="111">
        <v>5</v>
      </c>
      <c r="AM274" s="111">
        <v>5</v>
      </c>
      <c r="AN274" s="111">
        <v>5</v>
      </c>
      <c r="AO274" s="111">
        <v>5</v>
      </c>
      <c r="AP274" s="111">
        <v>5</v>
      </c>
      <c r="AQ274" s="111">
        <v>5</v>
      </c>
      <c r="AR274" s="111">
        <v>5</v>
      </c>
      <c r="AS274" s="111">
        <v>5</v>
      </c>
      <c r="AT274" s="111">
        <v>5</v>
      </c>
      <c r="AU274" s="111">
        <v>5</v>
      </c>
      <c r="AV274" s="50" t="s">
        <v>199</v>
      </c>
      <c r="AW274" s="50" t="s">
        <v>199</v>
      </c>
      <c r="AX274" s="50" t="s">
        <v>199</v>
      </c>
      <c r="AY274" s="50" t="s">
        <v>200</v>
      </c>
      <c r="AZ274" s="50" t="s">
        <v>200</v>
      </c>
      <c r="BA274" s="50" t="s">
        <v>200</v>
      </c>
      <c r="BB274" s="50" t="s">
        <v>200</v>
      </c>
      <c r="BC274" s="50" t="s">
        <v>200</v>
      </c>
      <c r="BD274" s="50" t="s">
        <v>200</v>
      </c>
      <c r="BE274" s="50" t="s">
        <v>200</v>
      </c>
      <c r="BF274" s="50" t="s">
        <v>200</v>
      </c>
      <c r="BG274" s="50" t="s">
        <v>200</v>
      </c>
      <c r="BH274" s="50" t="s">
        <v>200</v>
      </c>
      <c r="BI274" s="50" t="s">
        <v>200</v>
      </c>
      <c r="BJ274" s="50" t="s">
        <v>200</v>
      </c>
      <c r="BK274" s="50" t="s">
        <v>200</v>
      </c>
      <c r="BL274" s="50" t="s">
        <v>200</v>
      </c>
      <c r="BM274" s="50" t="s">
        <v>436</v>
      </c>
      <c r="BN274" s="50" t="s">
        <v>318</v>
      </c>
      <c r="BO274" s="50" t="s">
        <v>432</v>
      </c>
      <c r="BP274" s="50" t="s">
        <v>286</v>
      </c>
      <c r="BQ274" s="50" t="s">
        <v>287</v>
      </c>
      <c r="BR274" s="50" t="s">
        <v>305</v>
      </c>
      <c r="BS274" s="111">
        <v>4</v>
      </c>
      <c r="BT274" s="50" t="s">
        <v>286</v>
      </c>
      <c r="BU274" s="50" t="s">
        <v>312</v>
      </c>
      <c r="BV274" s="50" t="s">
        <v>288</v>
      </c>
      <c r="BW274" s="50" t="s">
        <v>289</v>
      </c>
      <c r="BX274" s="50" t="s">
        <v>300</v>
      </c>
      <c r="BY274" s="50" t="s">
        <v>288</v>
      </c>
      <c r="BZ274" s="50" t="s">
        <v>287</v>
      </c>
      <c r="CA274" s="50"/>
      <c r="CB274" s="50" t="s">
        <v>287</v>
      </c>
      <c r="CC274" s="50" t="s">
        <v>287</v>
      </c>
      <c r="CD274" s="50" t="s">
        <v>287</v>
      </c>
      <c r="CE274" s="50"/>
      <c r="CF274" s="50" t="s">
        <v>287</v>
      </c>
      <c r="CG274" s="50" t="s">
        <v>287</v>
      </c>
      <c r="CH274" s="50" t="s">
        <v>486</v>
      </c>
      <c r="CI274" s="50" t="s">
        <v>287</v>
      </c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</row>
    <row r="275" spans="1:97" ht="36.75" customHeight="1" thickBot="1">
      <c r="A275" s="49">
        <v>46091.464849537035</v>
      </c>
      <c r="B275" s="50" t="s">
        <v>40</v>
      </c>
      <c r="C275" s="50" t="s">
        <v>45</v>
      </c>
      <c r="D275" s="50" t="s">
        <v>369</v>
      </c>
      <c r="E275" s="50" t="s">
        <v>61</v>
      </c>
      <c r="F275" s="50" t="s">
        <v>286</v>
      </c>
      <c r="G275" s="50" t="s">
        <v>74</v>
      </c>
      <c r="H275" s="50" t="s">
        <v>567</v>
      </c>
      <c r="I275" s="50" t="s">
        <v>81</v>
      </c>
      <c r="J275" s="50" t="s">
        <v>286</v>
      </c>
      <c r="K275" s="50" t="s">
        <v>287</v>
      </c>
      <c r="L275" s="50" t="s">
        <v>568</v>
      </c>
      <c r="M275" s="50" t="s">
        <v>319</v>
      </c>
      <c r="N275" s="111">
        <v>5</v>
      </c>
      <c r="O275" s="111">
        <v>5</v>
      </c>
      <c r="P275" s="111">
        <v>5</v>
      </c>
      <c r="Q275" s="111">
        <v>6</v>
      </c>
      <c r="R275" s="111">
        <v>6</v>
      </c>
      <c r="S275" s="111">
        <v>6</v>
      </c>
      <c r="T275" s="111">
        <v>5</v>
      </c>
      <c r="U275" s="111">
        <v>5</v>
      </c>
      <c r="V275" s="111">
        <v>6</v>
      </c>
      <c r="W275" s="111">
        <v>6</v>
      </c>
      <c r="X275" s="111">
        <v>6</v>
      </c>
      <c r="Y275" s="111">
        <v>6</v>
      </c>
      <c r="Z275" s="111">
        <v>5</v>
      </c>
      <c r="AA275" s="111">
        <v>6</v>
      </c>
      <c r="AB275" s="111">
        <v>5</v>
      </c>
      <c r="AC275" s="111">
        <v>5</v>
      </c>
      <c r="AD275" s="111">
        <v>5</v>
      </c>
      <c r="AE275" s="111">
        <v>5</v>
      </c>
      <c r="AF275" s="111">
        <v>5</v>
      </c>
      <c r="AG275" s="111">
        <v>5</v>
      </c>
      <c r="AH275" s="111">
        <v>5</v>
      </c>
      <c r="AI275" s="111">
        <v>5</v>
      </c>
      <c r="AJ275" s="111">
        <v>5</v>
      </c>
      <c r="AK275" s="111">
        <v>5</v>
      </c>
      <c r="AL275" s="111">
        <v>5</v>
      </c>
      <c r="AM275" s="111">
        <v>5</v>
      </c>
      <c r="AN275" s="111">
        <v>5</v>
      </c>
      <c r="AO275" s="111">
        <v>5</v>
      </c>
      <c r="AP275" s="111">
        <v>5</v>
      </c>
      <c r="AQ275" s="111">
        <v>6</v>
      </c>
      <c r="AR275" s="111">
        <v>5</v>
      </c>
      <c r="AS275" s="111">
        <v>5</v>
      </c>
      <c r="AT275" s="111">
        <v>5</v>
      </c>
      <c r="AU275" s="111">
        <v>5</v>
      </c>
      <c r="AV275" s="50" t="s">
        <v>202</v>
      </c>
      <c r="AW275" s="50" t="s">
        <v>202</v>
      </c>
      <c r="AX275" s="50" t="s">
        <v>199</v>
      </c>
      <c r="AY275" s="50" t="s">
        <v>199</v>
      </c>
      <c r="AZ275" s="50" t="s">
        <v>202</v>
      </c>
      <c r="BA275" s="50" t="s">
        <v>199</v>
      </c>
      <c r="BB275" s="50" t="s">
        <v>202</v>
      </c>
      <c r="BC275" s="50" t="s">
        <v>202</v>
      </c>
      <c r="BD275" s="50" t="s">
        <v>202</v>
      </c>
      <c r="BE275" s="50" t="s">
        <v>202</v>
      </c>
      <c r="BF275" s="50" t="s">
        <v>199</v>
      </c>
      <c r="BG275" s="50" t="s">
        <v>202</v>
      </c>
      <c r="BH275" s="50" t="s">
        <v>199</v>
      </c>
      <c r="BI275" s="50" t="s">
        <v>202</v>
      </c>
      <c r="BJ275" s="50" t="s">
        <v>202</v>
      </c>
      <c r="BK275" s="50" t="s">
        <v>202</v>
      </c>
      <c r="BL275" s="50" t="s">
        <v>202</v>
      </c>
      <c r="BM275" s="50" t="s">
        <v>436</v>
      </c>
      <c r="BN275" s="50" t="s">
        <v>399</v>
      </c>
      <c r="BO275" s="50" t="s">
        <v>91</v>
      </c>
      <c r="BP275" s="50" t="s">
        <v>286</v>
      </c>
      <c r="BQ275" s="50" t="s">
        <v>287</v>
      </c>
      <c r="BR275" s="50" t="s">
        <v>372</v>
      </c>
      <c r="BS275" s="111">
        <v>5</v>
      </c>
      <c r="BT275" s="50" t="s">
        <v>286</v>
      </c>
      <c r="BU275" s="50" t="s">
        <v>348</v>
      </c>
      <c r="BV275" s="50" t="s">
        <v>288</v>
      </c>
      <c r="BW275" s="50" t="s">
        <v>350</v>
      </c>
      <c r="BX275" s="50" t="s">
        <v>387</v>
      </c>
      <c r="BY275" s="50" t="s">
        <v>288</v>
      </c>
      <c r="BZ275" s="50" t="s">
        <v>287</v>
      </c>
      <c r="CA275" s="50"/>
      <c r="CB275" s="50" t="s">
        <v>287</v>
      </c>
      <c r="CC275" s="50" t="s">
        <v>287</v>
      </c>
      <c r="CD275" s="50" t="s">
        <v>287</v>
      </c>
      <c r="CE275" s="50"/>
      <c r="CF275" s="50" t="s">
        <v>287</v>
      </c>
      <c r="CG275" s="50" t="s">
        <v>287</v>
      </c>
      <c r="CH275" s="50" t="s">
        <v>486</v>
      </c>
      <c r="CI275" s="50" t="s">
        <v>287</v>
      </c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</row>
    <row r="276" spans="1:97" ht="36.75" customHeight="1" thickBot="1">
      <c r="A276" s="49">
        <v>46091.560219907406</v>
      </c>
      <c r="B276" s="50" t="s">
        <v>40</v>
      </c>
      <c r="C276" s="50" t="s">
        <v>46</v>
      </c>
      <c r="D276" s="50" t="s">
        <v>374</v>
      </c>
      <c r="E276" s="50" t="s">
        <v>61</v>
      </c>
      <c r="F276" s="50" t="s">
        <v>286</v>
      </c>
      <c r="G276" s="50" t="s">
        <v>73</v>
      </c>
      <c r="H276" s="50" t="s">
        <v>307</v>
      </c>
      <c r="I276" s="50" t="s">
        <v>91</v>
      </c>
      <c r="J276" s="50" t="s">
        <v>286</v>
      </c>
      <c r="K276" s="50" t="s">
        <v>291</v>
      </c>
      <c r="L276" s="50" t="s">
        <v>286</v>
      </c>
      <c r="M276" s="50" t="s">
        <v>370</v>
      </c>
      <c r="N276" s="111">
        <v>5</v>
      </c>
      <c r="O276" s="111">
        <v>5</v>
      </c>
      <c r="P276" s="111">
        <v>5</v>
      </c>
      <c r="Q276" s="111">
        <v>5</v>
      </c>
      <c r="R276" s="111">
        <v>5</v>
      </c>
      <c r="S276" s="111">
        <v>6</v>
      </c>
      <c r="T276" s="111">
        <v>5</v>
      </c>
      <c r="U276" s="111">
        <v>5</v>
      </c>
      <c r="V276" s="111">
        <v>6</v>
      </c>
      <c r="W276" s="111">
        <v>6</v>
      </c>
      <c r="X276" s="111">
        <v>6</v>
      </c>
      <c r="Y276" s="111">
        <v>6</v>
      </c>
      <c r="Z276" s="111">
        <v>6</v>
      </c>
      <c r="AA276" s="111">
        <v>6</v>
      </c>
      <c r="AB276" s="111">
        <v>6</v>
      </c>
      <c r="AC276" s="111">
        <v>5</v>
      </c>
      <c r="AD276" s="111">
        <v>5</v>
      </c>
      <c r="AE276" s="111">
        <v>5</v>
      </c>
      <c r="AF276" s="111">
        <v>5</v>
      </c>
      <c r="AG276" s="111">
        <v>5</v>
      </c>
      <c r="AH276" s="111">
        <v>5</v>
      </c>
      <c r="AI276" s="111">
        <v>5</v>
      </c>
      <c r="AJ276" s="111">
        <v>5</v>
      </c>
      <c r="AK276" s="111">
        <v>5</v>
      </c>
      <c r="AL276" s="111">
        <v>5</v>
      </c>
      <c r="AM276" s="111">
        <v>5</v>
      </c>
      <c r="AN276" s="111">
        <v>5</v>
      </c>
      <c r="AO276" s="111">
        <v>5</v>
      </c>
      <c r="AP276" s="111">
        <v>5</v>
      </c>
      <c r="AQ276" s="111">
        <v>6</v>
      </c>
      <c r="AR276" s="111">
        <v>5</v>
      </c>
      <c r="AS276" s="111">
        <v>5</v>
      </c>
      <c r="AT276" s="111">
        <v>5</v>
      </c>
      <c r="AU276" s="111">
        <v>5</v>
      </c>
      <c r="AV276" s="50" t="s">
        <v>202</v>
      </c>
      <c r="AW276" s="50" t="s">
        <v>202</v>
      </c>
      <c r="AX276" s="50" t="s">
        <v>201</v>
      </c>
      <c r="AY276" s="50" t="s">
        <v>199</v>
      </c>
      <c r="AZ276" s="50" t="s">
        <v>202</v>
      </c>
      <c r="BA276" s="50" t="s">
        <v>199</v>
      </c>
      <c r="BB276" s="50" t="s">
        <v>202</v>
      </c>
      <c r="BC276" s="50" t="s">
        <v>202</v>
      </c>
      <c r="BD276" s="50" t="s">
        <v>202</v>
      </c>
      <c r="BE276" s="50" t="s">
        <v>200</v>
      </c>
      <c r="BF276" s="50" t="s">
        <v>199</v>
      </c>
      <c r="BG276" s="50" t="s">
        <v>202</v>
      </c>
      <c r="BH276" s="50" t="s">
        <v>200</v>
      </c>
      <c r="BI276" s="50" t="s">
        <v>202</v>
      </c>
      <c r="BJ276" s="50" t="s">
        <v>202</v>
      </c>
      <c r="BK276" s="50" t="s">
        <v>202</v>
      </c>
      <c r="BL276" s="50" t="s">
        <v>202</v>
      </c>
      <c r="BM276" s="50" t="s">
        <v>436</v>
      </c>
      <c r="BN276" s="50" t="s">
        <v>318</v>
      </c>
      <c r="BO276" s="50" t="s">
        <v>91</v>
      </c>
      <c r="BP276" s="50" t="s">
        <v>286</v>
      </c>
      <c r="BQ276" s="50" t="s">
        <v>287</v>
      </c>
      <c r="BR276" s="50" t="s">
        <v>372</v>
      </c>
      <c r="BS276" s="111">
        <v>5</v>
      </c>
      <c r="BT276" s="50" t="s">
        <v>286</v>
      </c>
      <c r="BU276" s="50" t="s">
        <v>348</v>
      </c>
      <c r="BV276" s="50" t="s">
        <v>288</v>
      </c>
      <c r="BW276" s="50" t="s">
        <v>350</v>
      </c>
      <c r="BX276" s="50" t="s">
        <v>387</v>
      </c>
      <c r="BY276" s="50" t="s">
        <v>288</v>
      </c>
      <c r="BZ276" s="50" t="s">
        <v>287</v>
      </c>
      <c r="CA276" s="50"/>
      <c r="CB276" s="50" t="s">
        <v>287</v>
      </c>
      <c r="CC276" s="50" t="s">
        <v>287</v>
      </c>
      <c r="CD276" s="50" t="s">
        <v>287</v>
      </c>
      <c r="CE276" s="50"/>
      <c r="CF276" s="50" t="s">
        <v>287</v>
      </c>
      <c r="CG276" s="50" t="s">
        <v>287</v>
      </c>
      <c r="CH276" s="50" t="s">
        <v>486</v>
      </c>
      <c r="CI276" s="50" t="s">
        <v>287</v>
      </c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</row>
    <row r="277" spans="1:97" ht="36.75" customHeight="1" thickBot="1">
      <c r="A277" s="49">
        <v>46091.562372685185</v>
      </c>
      <c r="B277" s="50" t="s">
        <v>38</v>
      </c>
      <c r="C277" s="50" t="s">
        <v>46</v>
      </c>
      <c r="D277" s="50" t="s">
        <v>369</v>
      </c>
      <c r="E277" s="50" t="s">
        <v>61</v>
      </c>
      <c r="F277" s="50" t="s">
        <v>286</v>
      </c>
      <c r="G277" s="50" t="s">
        <v>74</v>
      </c>
      <c r="H277" s="50" t="s">
        <v>365</v>
      </c>
      <c r="I277" s="50" t="s">
        <v>91</v>
      </c>
      <c r="J277" s="50" t="s">
        <v>286</v>
      </c>
      <c r="K277" s="50" t="s">
        <v>291</v>
      </c>
      <c r="L277" s="50" t="s">
        <v>286</v>
      </c>
      <c r="M277" s="50" t="s">
        <v>370</v>
      </c>
      <c r="N277" s="111">
        <v>5</v>
      </c>
      <c r="O277" s="111">
        <v>5</v>
      </c>
      <c r="P277" s="111">
        <v>5</v>
      </c>
      <c r="Q277" s="111">
        <v>5</v>
      </c>
      <c r="R277" s="111">
        <v>6</v>
      </c>
      <c r="S277" s="111">
        <v>6</v>
      </c>
      <c r="T277" s="111">
        <v>5</v>
      </c>
      <c r="U277" s="111">
        <v>5</v>
      </c>
      <c r="V277" s="111">
        <v>6</v>
      </c>
      <c r="W277" s="111">
        <v>6</v>
      </c>
      <c r="X277" s="111">
        <v>6</v>
      </c>
      <c r="Y277" s="111">
        <v>6</v>
      </c>
      <c r="Z277" s="111">
        <v>6</v>
      </c>
      <c r="AA277" s="111">
        <v>6</v>
      </c>
      <c r="AB277" s="111">
        <v>6</v>
      </c>
      <c r="AC277" s="111">
        <v>5</v>
      </c>
      <c r="AD277" s="111">
        <v>5</v>
      </c>
      <c r="AE277" s="111">
        <v>5</v>
      </c>
      <c r="AF277" s="111">
        <v>5</v>
      </c>
      <c r="AG277" s="111">
        <v>5</v>
      </c>
      <c r="AH277" s="111">
        <v>5</v>
      </c>
      <c r="AI277" s="111">
        <v>5</v>
      </c>
      <c r="AJ277" s="111">
        <v>5</v>
      </c>
      <c r="AK277" s="111">
        <v>5</v>
      </c>
      <c r="AL277" s="111">
        <v>5</v>
      </c>
      <c r="AM277" s="111">
        <v>5</v>
      </c>
      <c r="AN277" s="111">
        <v>5</v>
      </c>
      <c r="AO277" s="111">
        <v>5</v>
      </c>
      <c r="AP277" s="111">
        <v>5</v>
      </c>
      <c r="AQ277" s="111">
        <v>6</v>
      </c>
      <c r="AR277" s="111">
        <v>5</v>
      </c>
      <c r="AS277" s="111">
        <v>5</v>
      </c>
      <c r="AT277" s="111">
        <v>5</v>
      </c>
      <c r="AU277" s="111">
        <v>5</v>
      </c>
      <c r="AV277" s="50" t="s">
        <v>202</v>
      </c>
      <c r="AW277" s="50" t="s">
        <v>202</v>
      </c>
      <c r="AX277" s="50" t="s">
        <v>201</v>
      </c>
      <c r="AY277" s="50" t="s">
        <v>199</v>
      </c>
      <c r="AZ277" s="50" t="s">
        <v>202</v>
      </c>
      <c r="BA277" s="50" t="s">
        <v>199</v>
      </c>
      <c r="BB277" s="50" t="s">
        <v>202</v>
      </c>
      <c r="BC277" s="50" t="s">
        <v>202</v>
      </c>
      <c r="BD277" s="50" t="s">
        <v>202</v>
      </c>
      <c r="BE277" s="50" t="s">
        <v>199</v>
      </c>
      <c r="BF277" s="50" t="s">
        <v>200</v>
      </c>
      <c r="BG277" s="50" t="s">
        <v>202</v>
      </c>
      <c r="BH277" s="50" t="s">
        <v>199</v>
      </c>
      <c r="BI277" s="50" t="s">
        <v>202</v>
      </c>
      <c r="BJ277" s="50" t="s">
        <v>202</v>
      </c>
      <c r="BK277" s="50" t="s">
        <v>202</v>
      </c>
      <c r="BL277" s="50" t="s">
        <v>202</v>
      </c>
      <c r="BM277" s="50" t="s">
        <v>436</v>
      </c>
      <c r="BN277" s="50" t="s">
        <v>480</v>
      </c>
      <c r="BO277" s="50" t="s">
        <v>91</v>
      </c>
      <c r="BP277" s="50" t="s">
        <v>286</v>
      </c>
      <c r="BQ277" s="50" t="s">
        <v>287</v>
      </c>
      <c r="BR277" s="50" t="s">
        <v>372</v>
      </c>
      <c r="BS277" s="111">
        <v>5</v>
      </c>
      <c r="BT277" s="50" t="s">
        <v>286</v>
      </c>
      <c r="BU277" s="50" t="s">
        <v>348</v>
      </c>
      <c r="BV277" s="50" t="s">
        <v>288</v>
      </c>
      <c r="BW277" s="50" t="s">
        <v>350</v>
      </c>
      <c r="BX277" s="50" t="s">
        <v>387</v>
      </c>
      <c r="BY277" s="50" t="s">
        <v>288</v>
      </c>
      <c r="BZ277" s="50" t="s">
        <v>287</v>
      </c>
      <c r="CA277" s="50"/>
      <c r="CB277" s="50" t="s">
        <v>287</v>
      </c>
      <c r="CC277" s="50" t="s">
        <v>287</v>
      </c>
      <c r="CD277" s="50" t="s">
        <v>287</v>
      </c>
      <c r="CE277" s="50"/>
      <c r="CF277" s="50" t="s">
        <v>287</v>
      </c>
      <c r="CG277" s="50" t="s">
        <v>287</v>
      </c>
      <c r="CH277" s="50" t="s">
        <v>486</v>
      </c>
      <c r="CI277" s="50" t="s">
        <v>287</v>
      </c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</row>
    <row r="278" spans="1:97" ht="36.75" customHeight="1" thickBot="1">
      <c r="A278" s="49">
        <v>46091.592106481483</v>
      </c>
      <c r="B278" s="50" t="s">
        <v>40</v>
      </c>
      <c r="C278" s="50" t="s">
        <v>45</v>
      </c>
      <c r="D278" s="50" t="s">
        <v>374</v>
      </c>
      <c r="E278" s="50" t="s">
        <v>62</v>
      </c>
      <c r="F278" s="50" t="s">
        <v>286</v>
      </c>
      <c r="G278" s="50" t="s">
        <v>74</v>
      </c>
      <c r="H278" s="50" t="s">
        <v>302</v>
      </c>
      <c r="I278" s="50" t="s">
        <v>91</v>
      </c>
      <c r="J278" s="50" t="s">
        <v>286</v>
      </c>
      <c r="K278" s="50" t="s">
        <v>291</v>
      </c>
      <c r="L278" s="50" t="s">
        <v>286</v>
      </c>
      <c r="M278" s="50" t="s">
        <v>370</v>
      </c>
      <c r="N278" s="111">
        <v>5</v>
      </c>
      <c r="O278" s="111">
        <v>5</v>
      </c>
      <c r="P278" s="111">
        <v>5</v>
      </c>
      <c r="Q278" s="111">
        <v>5</v>
      </c>
      <c r="R278" s="111">
        <v>6</v>
      </c>
      <c r="S278" s="111">
        <v>6</v>
      </c>
      <c r="T278" s="111">
        <v>5</v>
      </c>
      <c r="U278" s="111">
        <v>5</v>
      </c>
      <c r="V278" s="111">
        <v>6</v>
      </c>
      <c r="W278" s="111">
        <v>6</v>
      </c>
      <c r="X278" s="111">
        <v>6</v>
      </c>
      <c r="Y278" s="111">
        <v>6</v>
      </c>
      <c r="Z278" s="111">
        <v>6</v>
      </c>
      <c r="AA278" s="111">
        <v>6</v>
      </c>
      <c r="AB278" s="111">
        <v>6</v>
      </c>
      <c r="AC278" s="111">
        <v>5</v>
      </c>
      <c r="AD278" s="111">
        <v>5</v>
      </c>
      <c r="AE278" s="111">
        <v>5</v>
      </c>
      <c r="AF278" s="111">
        <v>5</v>
      </c>
      <c r="AG278" s="111">
        <v>5</v>
      </c>
      <c r="AH278" s="111">
        <v>5</v>
      </c>
      <c r="AI278" s="111">
        <v>5</v>
      </c>
      <c r="AJ278" s="111">
        <v>5</v>
      </c>
      <c r="AK278" s="111">
        <v>5</v>
      </c>
      <c r="AL278" s="111">
        <v>5</v>
      </c>
      <c r="AM278" s="111">
        <v>5</v>
      </c>
      <c r="AN278" s="111">
        <v>5</v>
      </c>
      <c r="AO278" s="111">
        <v>5</v>
      </c>
      <c r="AP278" s="111">
        <v>5</v>
      </c>
      <c r="AQ278" s="111">
        <v>6</v>
      </c>
      <c r="AR278" s="111">
        <v>5</v>
      </c>
      <c r="AS278" s="111">
        <v>5</v>
      </c>
      <c r="AT278" s="111">
        <v>5</v>
      </c>
      <c r="AU278" s="111">
        <v>5</v>
      </c>
      <c r="AV278" s="50" t="s">
        <v>202</v>
      </c>
      <c r="AW278" s="50" t="s">
        <v>202</v>
      </c>
      <c r="AX278" s="50" t="s">
        <v>201</v>
      </c>
      <c r="AY278" s="50" t="s">
        <v>199</v>
      </c>
      <c r="AZ278" s="50" t="s">
        <v>202</v>
      </c>
      <c r="BA278" s="50" t="s">
        <v>199</v>
      </c>
      <c r="BB278" s="50" t="s">
        <v>202</v>
      </c>
      <c r="BC278" s="50" t="s">
        <v>202</v>
      </c>
      <c r="BD278" s="50" t="s">
        <v>202</v>
      </c>
      <c r="BE278" s="50" t="s">
        <v>202</v>
      </c>
      <c r="BF278" s="50" t="s">
        <v>199</v>
      </c>
      <c r="BG278" s="50" t="s">
        <v>202</v>
      </c>
      <c r="BH278" s="50" t="s">
        <v>200</v>
      </c>
      <c r="BI278" s="50" t="s">
        <v>202</v>
      </c>
      <c r="BJ278" s="50" t="s">
        <v>202</v>
      </c>
      <c r="BK278" s="50" t="s">
        <v>202</v>
      </c>
      <c r="BL278" s="50" t="s">
        <v>202</v>
      </c>
      <c r="BM278" s="50" t="s">
        <v>436</v>
      </c>
      <c r="BN278" s="50" t="s">
        <v>318</v>
      </c>
      <c r="BO278" s="50" t="s">
        <v>569</v>
      </c>
      <c r="BP278" s="50" t="s">
        <v>570</v>
      </c>
      <c r="BQ278" s="50" t="s">
        <v>287</v>
      </c>
      <c r="BR278" s="50" t="s">
        <v>372</v>
      </c>
      <c r="BS278" s="111">
        <v>4</v>
      </c>
      <c r="BT278" s="50" t="s">
        <v>571</v>
      </c>
      <c r="BU278" s="50" t="s">
        <v>348</v>
      </c>
      <c r="BV278" s="50" t="s">
        <v>288</v>
      </c>
      <c r="BW278" s="50" t="s">
        <v>350</v>
      </c>
      <c r="BX278" s="50" t="s">
        <v>387</v>
      </c>
      <c r="BY278" s="50" t="s">
        <v>288</v>
      </c>
      <c r="BZ278" s="50" t="s">
        <v>287</v>
      </c>
      <c r="CA278" s="50"/>
      <c r="CB278" s="50" t="s">
        <v>287</v>
      </c>
      <c r="CC278" s="50" t="s">
        <v>287</v>
      </c>
      <c r="CD278" s="50" t="s">
        <v>287</v>
      </c>
      <c r="CE278" s="50"/>
      <c r="CF278" s="50" t="s">
        <v>287</v>
      </c>
      <c r="CG278" s="50" t="s">
        <v>287</v>
      </c>
      <c r="CH278" s="50" t="s">
        <v>486</v>
      </c>
      <c r="CI278" s="50" t="s">
        <v>287</v>
      </c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</row>
    <row r="279" spans="1:97" ht="36.75" customHeight="1" thickBot="1">
      <c r="A279" s="49">
        <v>46091.595925925925</v>
      </c>
      <c r="B279" s="50" t="s">
        <v>39</v>
      </c>
      <c r="C279" s="50" t="s">
        <v>45</v>
      </c>
      <c r="D279" s="50" t="s">
        <v>369</v>
      </c>
      <c r="E279" s="50" t="s">
        <v>285</v>
      </c>
      <c r="F279" s="50" t="s">
        <v>286</v>
      </c>
      <c r="G279" s="50" t="s">
        <v>73</v>
      </c>
      <c r="H279" s="50" t="s">
        <v>536</v>
      </c>
      <c r="I279" s="50" t="s">
        <v>91</v>
      </c>
      <c r="J279" s="50" t="s">
        <v>286</v>
      </c>
      <c r="K279" s="50" t="s">
        <v>291</v>
      </c>
      <c r="L279" s="50" t="s">
        <v>286</v>
      </c>
      <c r="M279" s="50" t="s">
        <v>370</v>
      </c>
      <c r="N279" s="111">
        <v>5</v>
      </c>
      <c r="O279" s="111">
        <v>5</v>
      </c>
      <c r="P279" s="111">
        <v>5</v>
      </c>
      <c r="Q279" s="111">
        <v>5</v>
      </c>
      <c r="R279" s="111">
        <v>5</v>
      </c>
      <c r="S279" s="111">
        <v>6</v>
      </c>
      <c r="T279" s="111">
        <v>5</v>
      </c>
      <c r="U279" s="111">
        <v>5</v>
      </c>
      <c r="V279" s="111">
        <v>6</v>
      </c>
      <c r="W279" s="111">
        <v>6</v>
      </c>
      <c r="X279" s="111">
        <v>6</v>
      </c>
      <c r="Y279" s="111">
        <v>6</v>
      </c>
      <c r="Z279" s="111">
        <v>6</v>
      </c>
      <c r="AA279" s="111">
        <v>6</v>
      </c>
      <c r="AB279" s="111">
        <v>6</v>
      </c>
      <c r="AC279" s="111">
        <v>5</v>
      </c>
      <c r="AD279" s="111">
        <v>5</v>
      </c>
      <c r="AE279" s="111">
        <v>5</v>
      </c>
      <c r="AF279" s="111">
        <v>5</v>
      </c>
      <c r="AG279" s="111">
        <v>5</v>
      </c>
      <c r="AH279" s="111">
        <v>5</v>
      </c>
      <c r="AI279" s="111">
        <v>5</v>
      </c>
      <c r="AJ279" s="111">
        <v>5</v>
      </c>
      <c r="AK279" s="111">
        <v>3</v>
      </c>
      <c r="AL279" s="111">
        <v>5</v>
      </c>
      <c r="AM279" s="111">
        <v>5</v>
      </c>
      <c r="AN279" s="111">
        <v>5</v>
      </c>
      <c r="AO279" s="111">
        <v>5</v>
      </c>
      <c r="AP279" s="111">
        <v>5</v>
      </c>
      <c r="AQ279" s="111">
        <v>6</v>
      </c>
      <c r="AR279" s="111">
        <v>5</v>
      </c>
      <c r="AS279" s="111">
        <v>5</v>
      </c>
      <c r="AT279" s="111">
        <v>5</v>
      </c>
      <c r="AU279" s="111">
        <v>5</v>
      </c>
      <c r="AV279" s="50" t="s">
        <v>202</v>
      </c>
      <c r="AW279" s="50" t="s">
        <v>202</v>
      </c>
      <c r="AX279" s="50" t="s">
        <v>199</v>
      </c>
      <c r="AY279" s="50" t="s">
        <v>199</v>
      </c>
      <c r="AZ279" s="50" t="s">
        <v>202</v>
      </c>
      <c r="BA279" s="50" t="s">
        <v>199</v>
      </c>
      <c r="BB279" s="50" t="s">
        <v>202</v>
      </c>
      <c r="BC279" s="50" t="s">
        <v>202</v>
      </c>
      <c r="BD279" s="50" t="s">
        <v>202</v>
      </c>
      <c r="BE279" s="50" t="s">
        <v>200</v>
      </c>
      <c r="BF279" s="50" t="s">
        <v>201</v>
      </c>
      <c r="BG279" s="50" t="s">
        <v>202</v>
      </c>
      <c r="BH279" s="50" t="s">
        <v>200</v>
      </c>
      <c r="BI279" s="50" t="s">
        <v>202</v>
      </c>
      <c r="BJ279" s="50" t="s">
        <v>202</v>
      </c>
      <c r="BK279" s="50" t="s">
        <v>202</v>
      </c>
      <c r="BL279" s="50" t="s">
        <v>202</v>
      </c>
      <c r="BM279" s="50" t="s">
        <v>436</v>
      </c>
      <c r="BN279" s="50" t="s">
        <v>318</v>
      </c>
      <c r="BO279" s="50" t="s">
        <v>91</v>
      </c>
      <c r="BP279" s="50" t="s">
        <v>286</v>
      </c>
      <c r="BQ279" s="50" t="s">
        <v>287</v>
      </c>
      <c r="BR279" s="50" t="s">
        <v>372</v>
      </c>
      <c r="BS279" s="111">
        <v>5</v>
      </c>
      <c r="BT279" s="50" t="s">
        <v>286</v>
      </c>
      <c r="BU279" s="50" t="s">
        <v>348</v>
      </c>
      <c r="BV279" s="50" t="s">
        <v>288</v>
      </c>
      <c r="BW279" s="50" t="s">
        <v>350</v>
      </c>
      <c r="BX279" s="50" t="s">
        <v>387</v>
      </c>
      <c r="BY279" s="50" t="s">
        <v>288</v>
      </c>
      <c r="BZ279" s="50" t="s">
        <v>287</v>
      </c>
      <c r="CA279" s="50"/>
      <c r="CB279" s="50" t="s">
        <v>287</v>
      </c>
      <c r="CC279" s="50" t="s">
        <v>287</v>
      </c>
      <c r="CD279" s="50" t="s">
        <v>287</v>
      </c>
      <c r="CE279" s="50"/>
      <c r="CF279" s="50" t="s">
        <v>287</v>
      </c>
      <c r="CG279" s="50" t="s">
        <v>287</v>
      </c>
      <c r="CH279" s="50" t="s">
        <v>486</v>
      </c>
      <c r="CI279" s="50" t="s">
        <v>287</v>
      </c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</row>
    <row r="280" spans="1:97" ht="36.75" customHeight="1" thickBot="1">
      <c r="A280" s="49">
        <v>46091.600127314814</v>
      </c>
      <c r="B280" s="50" t="s">
        <v>40</v>
      </c>
      <c r="C280" s="50" t="s">
        <v>45</v>
      </c>
      <c r="D280" s="50" t="s">
        <v>369</v>
      </c>
      <c r="E280" s="50" t="s">
        <v>285</v>
      </c>
      <c r="F280" s="50" t="s">
        <v>286</v>
      </c>
      <c r="G280" s="50" t="s">
        <v>73</v>
      </c>
      <c r="H280" s="50" t="s">
        <v>286</v>
      </c>
      <c r="I280" s="50" t="s">
        <v>91</v>
      </c>
      <c r="J280" s="50" t="s">
        <v>286</v>
      </c>
      <c r="K280" s="50" t="s">
        <v>291</v>
      </c>
      <c r="L280" s="50" t="s">
        <v>286</v>
      </c>
      <c r="M280" s="50" t="s">
        <v>370</v>
      </c>
      <c r="N280" s="111">
        <v>5</v>
      </c>
      <c r="O280" s="111">
        <v>5</v>
      </c>
      <c r="P280" s="111">
        <v>5</v>
      </c>
      <c r="Q280" s="111">
        <v>5</v>
      </c>
      <c r="R280" s="111">
        <v>6</v>
      </c>
      <c r="S280" s="111">
        <v>6</v>
      </c>
      <c r="T280" s="111">
        <v>5</v>
      </c>
      <c r="U280" s="111">
        <v>5</v>
      </c>
      <c r="V280" s="111">
        <v>6</v>
      </c>
      <c r="W280" s="111">
        <v>6</v>
      </c>
      <c r="X280" s="111">
        <v>6</v>
      </c>
      <c r="Y280" s="111">
        <v>6</v>
      </c>
      <c r="Z280" s="111">
        <v>6</v>
      </c>
      <c r="AA280" s="111">
        <v>6</v>
      </c>
      <c r="AB280" s="111">
        <v>6</v>
      </c>
      <c r="AC280" s="111">
        <v>5</v>
      </c>
      <c r="AD280" s="111">
        <v>5</v>
      </c>
      <c r="AE280" s="111">
        <v>5</v>
      </c>
      <c r="AF280" s="111">
        <v>5</v>
      </c>
      <c r="AG280" s="111">
        <v>5</v>
      </c>
      <c r="AH280" s="111">
        <v>5</v>
      </c>
      <c r="AI280" s="111">
        <v>5</v>
      </c>
      <c r="AJ280" s="111">
        <v>5</v>
      </c>
      <c r="AK280" s="111">
        <v>5</v>
      </c>
      <c r="AL280" s="111">
        <v>5</v>
      </c>
      <c r="AM280" s="111">
        <v>5</v>
      </c>
      <c r="AN280" s="111">
        <v>5</v>
      </c>
      <c r="AO280" s="111">
        <v>5</v>
      </c>
      <c r="AP280" s="111">
        <v>5</v>
      </c>
      <c r="AQ280" s="111">
        <v>6</v>
      </c>
      <c r="AR280" s="111">
        <v>5</v>
      </c>
      <c r="AS280" s="111">
        <v>5</v>
      </c>
      <c r="AT280" s="111">
        <v>5</v>
      </c>
      <c r="AU280" s="111">
        <v>5</v>
      </c>
      <c r="AV280" s="50" t="s">
        <v>202</v>
      </c>
      <c r="AW280" s="50" t="s">
        <v>202</v>
      </c>
      <c r="AX280" s="50" t="s">
        <v>200</v>
      </c>
      <c r="AY280" s="50" t="s">
        <v>199</v>
      </c>
      <c r="AZ280" s="50" t="s">
        <v>202</v>
      </c>
      <c r="BA280" s="50" t="s">
        <v>199</v>
      </c>
      <c r="BB280" s="50" t="s">
        <v>202</v>
      </c>
      <c r="BC280" s="50" t="s">
        <v>202</v>
      </c>
      <c r="BD280" s="50" t="s">
        <v>202</v>
      </c>
      <c r="BE280" s="50" t="s">
        <v>202</v>
      </c>
      <c r="BF280" s="50" t="s">
        <v>201</v>
      </c>
      <c r="BG280" s="50" t="s">
        <v>202</v>
      </c>
      <c r="BH280" s="50" t="s">
        <v>200</v>
      </c>
      <c r="BI280" s="50" t="s">
        <v>202</v>
      </c>
      <c r="BJ280" s="50" t="s">
        <v>202</v>
      </c>
      <c r="BK280" s="50" t="s">
        <v>202</v>
      </c>
      <c r="BL280" s="50" t="s">
        <v>202</v>
      </c>
      <c r="BM280" s="50" t="s">
        <v>436</v>
      </c>
      <c r="BN280" s="50" t="s">
        <v>444</v>
      </c>
      <c r="BO280" s="50" t="s">
        <v>91</v>
      </c>
      <c r="BP280" s="50" t="s">
        <v>286</v>
      </c>
      <c r="BQ280" s="50" t="s">
        <v>287</v>
      </c>
      <c r="BR280" s="50" t="s">
        <v>372</v>
      </c>
      <c r="BS280" s="111">
        <v>5</v>
      </c>
      <c r="BT280" s="50" t="s">
        <v>286</v>
      </c>
      <c r="BU280" s="50" t="s">
        <v>348</v>
      </c>
      <c r="BV280" s="50" t="s">
        <v>288</v>
      </c>
      <c r="BW280" s="50" t="s">
        <v>350</v>
      </c>
      <c r="BX280" s="50" t="s">
        <v>387</v>
      </c>
      <c r="BY280" s="50" t="s">
        <v>288</v>
      </c>
      <c r="BZ280" s="50" t="s">
        <v>287</v>
      </c>
      <c r="CA280" s="50"/>
      <c r="CB280" s="50" t="s">
        <v>287</v>
      </c>
      <c r="CC280" s="50" t="s">
        <v>287</v>
      </c>
      <c r="CD280" s="50" t="s">
        <v>287</v>
      </c>
      <c r="CE280" s="50"/>
      <c r="CF280" s="50" t="s">
        <v>287</v>
      </c>
      <c r="CG280" s="50" t="s">
        <v>287</v>
      </c>
      <c r="CH280" s="50" t="s">
        <v>486</v>
      </c>
      <c r="CI280" s="50" t="s">
        <v>287</v>
      </c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</row>
    <row r="281" spans="1:97" ht="36.75" customHeight="1" thickBot="1">
      <c r="A281" s="49">
        <v>46092.328182870369</v>
      </c>
      <c r="B281" s="50" t="s">
        <v>40</v>
      </c>
      <c r="C281" s="50" t="s">
        <v>46</v>
      </c>
      <c r="D281" s="50" t="s">
        <v>374</v>
      </c>
      <c r="E281" s="50" t="s">
        <v>61</v>
      </c>
      <c r="F281" s="50" t="s">
        <v>286</v>
      </c>
      <c r="G281" s="50" t="s">
        <v>73</v>
      </c>
      <c r="H281" s="50" t="s">
        <v>572</v>
      </c>
      <c r="I281" s="50" t="s">
        <v>81</v>
      </c>
      <c r="J281" s="50" t="s">
        <v>286</v>
      </c>
      <c r="K281" s="50" t="s">
        <v>287</v>
      </c>
      <c r="L281" s="50" t="s">
        <v>379</v>
      </c>
      <c r="M281" s="50" t="s">
        <v>370</v>
      </c>
      <c r="N281" s="111">
        <v>5</v>
      </c>
      <c r="O281" s="111">
        <v>5</v>
      </c>
      <c r="P281" s="111">
        <v>5</v>
      </c>
      <c r="Q281" s="111">
        <v>5</v>
      </c>
      <c r="R281" s="111">
        <v>5</v>
      </c>
      <c r="S281" s="111">
        <v>6</v>
      </c>
      <c r="T281" s="111">
        <v>5</v>
      </c>
      <c r="U281" s="111">
        <v>5</v>
      </c>
      <c r="V281" s="111">
        <v>6</v>
      </c>
      <c r="W281" s="111">
        <v>6</v>
      </c>
      <c r="X281" s="111">
        <v>6</v>
      </c>
      <c r="Y281" s="111">
        <v>6</v>
      </c>
      <c r="Z281" s="111">
        <v>6</v>
      </c>
      <c r="AA281" s="111">
        <v>6</v>
      </c>
      <c r="AB281" s="111">
        <v>6</v>
      </c>
      <c r="AC281" s="111">
        <v>5</v>
      </c>
      <c r="AD281" s="111">
        <v>5</v>
      </c>
      <c r="AE281" s="111">
        <v>5</v>
      </c>
      <c r="AF281" s="111">
        <v>5</v>
      </c>
      <c r="AG281" s="111">
        <v>5</v>
      </c>
      <c r="AH281" s="111">
        <v>5</v>
      </c>
      <c r="AI281" s="111">
        <v>5</v>
      </c>
      <c r="AJ281" s="111">
        <v>5</v>
      </c>
      <c r="AK281" s="111">
        <v>5</v>
      </c>
      <c r="AL281" s="111">
        <v>5</v>
      </c>
      <c r="AM281" s="111">
        <v>5</v>
      </c>
      <c r="AN281" s="111">
        <v>5</v>
      </c>
      <c r="AO281" s="111">
        <v>5</v>
      </c>
      <c r="AP281" s="111">
        <v>5</v>
      </c>
      <c r="AQ281" s="111">
        <v>6</v>
      </c>
      <c r="AR281" s="111">
        <v>5</v>
      </c>
      <c r="AS281" s="111">
        <v>5</v>
      </c>
      <c r="AT281" s="111">
        <v>5</v>
      </c>
      <c r="AU281" s="111">
        <v>5</v>
      </c>
      <c r="AV281" s="50" t="s">
        <v>202</v>
      </c>
      <c r="AW281" s="50" t="s">
        <v>202</v>
      </c>
      <c r="AX281" s="50" t="s">
        <v>201</v>
      </c>
      <c r="AY281" s="50" t="s">
        <v>199</v>
      </c>
      <c r="AZ281" s="50" t="s">
        <v>202</v>
      </c>
      <c r="BA281" s="50" t="s">
        <v>199</v>
      </c>
      <c r="BB281" s="50" t="s">
        <v>202</v>
      </c>
      <c r="BC281" s="50" t="s">
        <v>202</v>
      </c>
      <c r="BD281" s="50" t="s">
        <v>202</v>
      </c>
      <c r="BE281" s="50" t="s">
        <v>200</v>
      </c>
      <c r="BF281" s="50" t="s">
        <v>201</v>
      </c>
      <c r="BG281" s="50" t="s">
        <v>202</v>
      </c>
      <c r="BH281" s="50" t="s">
        <v>201</v>
      </c>
      <c r="BI281" s="50" t="s">
        <v>202</v>
      </c>
      <c r="BJ281" s="50" t="s">
        <v>202</v>
      </c>
      <c r="BK281" s="50" t="s">
        <v>202</v>
      </c>
      <c r="BL281" s="50" t="s">
        <v>202</v>
      </c>
      <c r="BM281" s="50" t="s">
        <v>436</v>
      </c>
      <c r="BN281" s="50" t="s">
        <v>318</v>
      </c>
      <c r="BO281" s="50" t="s">
        <v>91</v>
      </c>
      <c r="BP281" s="50" t="s">
        <v>286</v>
      </c>
      <c r="BQ281" s="50" t="s">
        <v>287</v>
      </c>
      <c r="BR281" s="50" t="s">
        <v>392</v>
      </c>
      <c r="BS281" s="111">
        <v>5</v>
      </c>
      <c r="BT281" s="50" t="s">
        <v>286</v>
      </c>
      <c r="BU281" s="50" t="s">
        <v>348</v>
      </c>
      <c r="BV281" s="50" t="s">
        <v>288</v>
      </c>
      <c r="BW281" s="50" t="s">
        <v>350</v>
      </c>
      <c r="BX281" s="50" t="s">
        <v>387</v>
      </c>
      <c r="BY281" s="50" t="s">
        <v>288</v>
      </c>
      <c r="BZ281" s="50" t="s">
        <v>287</v>
      </c>
      <c r="CA281" s="50"/>
      <c r="CB281" s="50" t="s">
        <v>287</v>
      </c>
      <c r="CC281" s="50" t="s">
        <v>287</v>
      </c>
      <c r="CD281" s="50" t="s">
        <v>287</v>
      </c>
      <c r="CE281" s="50"/>
      <c r="CF281" s="50" t="s">
        <v>287</v>
      </c>
      <c r="CG281" s="50" t="s">
        <v>287</v>
      </c>
      <c r="CH281" s="50" t="s">
        <v>486</v>
      </c>
      <c r="CI281" s="50" t="s">
        <v>287</v>
      </c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</row>
    <row r="282" spans="1:97" ht="36.75" customHeight="1" thickBot="1">
      <c r="A282" s="49">
        <v>46092.331076388888</v>
      </c>
      <c r="B282" s="50" t="s">
        <v>40</v>
      </c>
      <c r="C282" s="50" t="s">
        <v>45</v>
      </c>
      <c r="D282" s="50" t="s">
        <v>369</v>
      </c>
      <c r="E282" s="50" t="s">
        <v>61</v>
      </c>
      <c r="F282" s="50" t="s">
        <v>286</v>
      </c>
      <c r="G282" s="50" t="s">
        <v>73</v>
      </c>
      <c r="H282" s="50" t="s">
        <v>307</v>
      </c>
      <c r="I282" s="50" t="s">
        <v>91</v>
      </c>
      <c r="J282" s="50" t="s">
        <v>286</v>
      </c>
      <c r="K282" s="50" t="s">
        <v>291</v>
      </c>
      <c r="L282" s="50" t="s">
        <v>286</v>
      </c>
      <c r="M282" s="50" t="s">
        <v>370</v>
      </c>
      <c r="N282" s="111">
        <v>5</v>
      </c>
      <c r="O282" s="111">
        <v>5</v>
      </c>
      <c r="P282" s="111">
        <v>5</v>
      </c>
      <c r="Q282" s="111">
        <v>5</v>
      </c>
      <c r="R282" s="111">
        <v>6</v>
      </c>
      <c r="S282" s="111">
        <v>6</v>
      </c>
      <c r="T282" s="111">
        <v>5</v>
      </c>
      <c r="U282" s="111">
        <v>5</v>
      </c>
      <c r="V282" s="111">
        <v>6</v>
      </c>
      <c r="W282" s="111">
        <v>6</v>
      </c>
      <c r="X282" s="111">
        <v>6</v>
      </c>
      <c r="Y282" s="111">
        <v>6</v>
      </c>
      <c r="Z282" s="111">
        <v>6</v>
      </c>
      <c r="AA282" s="111">
        <v>6</v>
      </c>
      <c r="AB282" s="111">
        <v>6</v>
      </c>
      <c r="AC282" s="111">
        <v>5</v>
      </c>
      <c r="AD282" s="111">
        <v>5</v>
      </c>
      <c r="AE282" s="111">
        <v>5</v>
      </c>
      <c r="AF282" s="111">
        <v>5</v>
      </c>
      <c r="AG282" s="111">
        <v>5</v>
      </c>
      <c r="AH282" s="111">
        <v>5</v>
      </c>
      <c r="AI282" s="111">
        <v>5</v>
      </c>
      <c r="AJ282" s="111">
        <v>5</v>
      </c>
      <c r="AK282" s="111">
        <v>5</v>
      </c>
      <c r="AL282" s="111">
        <v>5</v>
      </c>
      <c r="AM282" s="111">
        <v>5</v>
      </c>
      <c r="AN282" s="111">
        <v>5</v>
      </c>
      <c r="AO282" s="111">
        <v>5</v>
      </c>
      <c r="AP282" s="111">
        <v>5</v>
      </c>
      <c r="AQ282" s="111">
        <v>6</v>
      </c>
      <c r="AR282" s="111">
        <v>5</v>
      </c>
      <c r="AS282" s="111">
        <v>5</v>
      </c>
      <c r="AT282" s="111">
        <v>5</v>
      </c>
      <c r="AU282" s="111">
        <v>5</v>
      </c>
      <c r="AV282" s="50" t="s">
        <v>202</v>
      </c>
      <c r="AW282" s="50" t="s">
        <v>202</v>
      </c>
      <c r="AX282" s="50" t="s">
        <v>201</v>
      </c>
      <c r="AY282" s="50" t="s">
        <v>199</v>
      </c>
      <c r="AZ282" s="50" t="s">
        <v>202</v>
      </c>
      <c r="BA282" s="50" t="s">
        <v>199</v>
      </c>
      <c r="BB282" s="50" t="s">
        <v>202</v>
      </c>
      <c r="BC282" s="50" t="s">
        <v>202</v>
      </c>
      <c r="BD282" s="50" t="s">
        <v>202</v>
      </c>
      <c r="BE282" s="50" t="s">
        <v>200</v>
      </c>
      <c r="BF282" s="50" t="s">
        <v>201</v>
      </c>
      <c r="BG282" s="50" t="s">
        <v>202</v>
      </c>
      <c r="BH282" s="50" t="s">
        <v>201</v>
      </c>
      <c r="BI282" s="50" t="s">
        <v>202</v>
      </c>
      <c r="BJ282" s="50" t="s">
        <v>202</v>
      </c>
      <c r="BK282" s="50" t="s">
        <v>202</v>
      </c>
      <c r="BL282" s="50" t="s">
        <v>202</v>
      </c>
      <c r="BM282" s="50" t="s">
        <v>436</v>
      </c>
      <c r="BN282" s="50" t="s">
        <v>399</v>
      </c>
      <c r="BO282" s="50" t="s">
        <v>91</v>
      </c>
      <c r="BP282" s="50" t="s">
        <v>286</v>
      </c>
      <c r="BQ282" s="50" t="s">
        <v>287</v>
      </c>
      <c r="BR282" s="50" t="s">
        <v>372</v>
      </c>
      <c r="BS282" s="111">
        <v>5</v>
      </c>
      <c r="BT282" s="50" t="s">
        <v>286</v>
      </c>
      <c r="BU282" s="50" t="s">
        <v>348</v>
      </c>
      <c r="BV282" s="50" t="s">
        <v>288</v>
      </c>
      <c r="BW282" s="50" t="s">
        <v>350</v>
      </c>
      <c r="BX282" s="50" t="s">
        <v>387</v>
      </c>
      <c r="BY282" s="50" t="s">
        <v>288</v>
      </c>
      <c r="BZ282" s="50" t="s">
        <v>287</v>
      </c>
      <c r="CA282" s="50"/>
      <c r="CB282" s="50" t="s">
        <v>287</v>
      </c>
      <c r="CC282" s="50" t="s">
        <v>287</v>
      </c>
      <c r="CD282" s="50" t="s">
        <v>287</v>
      </c>
      <c r="CE282" s="50"/>
      <c r="CF282" s="50" t="s">
        <v>287</v>
      </c>
      <c r="CG282" s="50" t="s">
        <v>287</v>
      </c>
      <c r="CH282" s="50" t="s">
        <v>486</v>
      </c>
      <c r="CI282" s="50" t="s">
        <v>287</v>
      </c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</row>
    <row r="283" spans="1:97" ht="36.75" customHeight="1" thickBot="1">
      <c r="A283" s="49">
        <v>46092.450729166667</v>
      </c>
      <c r="B283" s="50" t="s">
        <v>40</v>
      </c>
      <c r="C283" s="50" t="s">
        <v>46</v>
      </c>
      <c r="D283" s="50" t="s">
        <v>369</v>
      </c>
      <c r="E283" s="50" t="s">
        <v>285</v>
      </c>
      <c r="F283" s="50" t="s">
        <v>286</v>
      </c>
      <c r="G283" s="50" t="s">
        <v>73</v>
      </c>
      <c r="H283" s="50" t="s">
        <v>309</v>
      </c>
      <c r="I283" s="50" t="s">
        <v>81</v>
      </c>
      <c r="J283" s="50" t="s">
        <v>286</v>
      </c>
      <c r="K283" s="50" t="s">
        <v>287</v>
      </c>
      <c r="L283" s="50" t="s">
        <v>379</v>
      </c>
      <c r="M283" s="50" t="s">
        <v>370</v>
      </c>
      <c r="N283" s="111">
        <v>5</v>
      </c>
      <c r="O283" s="111">
        <v>5</v>
      </c>
      <c r="P283" s="111">
        <v>5</v>
      </c>
      <c r="Q283" s="111">
        <v>6</v>
      </c>
      <c r="R283" s="111">
        <v>6</v>
      </c>
      <c r="S283" s="111">
        <v>6</v>
      </c>
      <c r="T283" s="111">
        <v>5</v>
      </c>
      <c r="U283" s="111">
        <v>5</v>
      </c>
      <c r="V283" s="111">
        <v>6</v>
      </c>
      <c r="W283" s="111">
        <v>6</v>
      </c>
      <c r="X283" s="111">
        <v>6</v>
      </c>
      <c r="Y283" s="111">
        <v>6</v>
      </c>
      <c r="Z283" s="111">
        <v>6</v>
      </c>
      <c r="AA283" s="111">
        <v>6</v>
      </c>
      <c r="AB283" s="111">
        <v>6</v>
      </c>
      <c r="AC283" s="111">
        <v>5</v>
      </c>
      <c r="AD283" s="111">
        <v>5</v>
      </c>
      <c r="AE283" s="111">
        <v>5</v>
      </c>
      <c r="AF283" s="111">
        <v>5</v>
      </c>
      <c r="AG283" s="111">
        <v>5</v>
      </c>
      <c r="AH283" s="111">
        <v>5</v>
      </c>
      <c r="AI283" s="111">
        <v>5</v>
      </c>
      <c r="AJ283" s="111">
        <v>5</v>
      </c>
      <c r="AK283" s="111">
        <v>3</v>
      </c>
      <c r="AL283" s="111">
        <v>5</v>
      </c>
      <c r="AM283" s="111">
        <v>5</v>
      </c>
      <c r="AN283" s="111">
        <v>5</v>
      </c>
      <c r="AO283" s="111">
        <v>5</v>
      </c>
      <c r="AP283" s="111">
        <v>5</v>
      </c>
      <c r="AQ283" s="111">
        <v>6</v>
      </c>
      <c r="AR283" s="111">
        <v>5</v>
      </c>
      <c r="AS283" s="111">
        <v>5</v>
      </c>
      <c r="AT283" s="111">
        <v>5</v>
      </c>
      <c r="AU283" s="111">
        <v>5</v>
      </c>
      <c r="AV283" s="50" t="s">
        <v>202</v>
      </c>
      <c r="AW283" s="50" t="s">
        <v>202</v>
      </c>
      <c r="AX283" s="50" t="s">
        <v>201</v>
      </c>
      <c r="AY283" s="50" t="s">
        <v>199</v>
      </c>
      <c r="AZ283" s="50" t="s">
        <v>202</v>
      </c>
      <c r="BA283" s="50" t="s">
        <v>199</v>
      </c>
      <c r="BB283" s="50" t="s">
        <v>202</v>
      </c>
      <c r="BC283" s="50" t="s">
        <v>202</v>
      </c>
      <c r="BD283" s="50" t="s">
        <v>202</v>
      </c>
      <c r="BE283" s="50" t="s">
        <v>202</v>
      </c>
      <c r="BF283" s="50" t="s">
        <v>201</v>
      </c>
      <c r="BG283" s="50" t="s">
        <v>202</v>
      </c>
      <c r="BH283" s="50" t="s">
        <v>201</v>
      </c>
      <c r="BI283" s="50" t="s">
        <v>202</v>
      </c>
      <c r="BJ283" s="50" t="s">
        <v>202</v>
      </c>
      <c r="BK283" s="50" t="s">
        <v>202</v>
      </c>
      <c r="BL283" s="50" t="s">
        <v>202</v>
      </c>
      <c r="BM283" s="50" t="s">
        <v>436</v>
      </c>
      <c r="BN283" s="50" t="s">
        <v>479</v>
      </c>
      <c r="BO283" s="50" t="s">
        <v>91</v>
      </c>
      <c r="BP283" s="50" t="s">
        <v>286</v>
      </c>
      <c r="BQ283" s="50" t="s">
        <v>287</v>
      </c>
      <c r="BR283" s="50" t="s">
        <v>372</v>
      </c>
      <c r="BS283" s="111">
        <v>5</v>
      </c>
      <c r="BT283" s="50" t="s">
        <v>286</v>
      </c>
      <c r="BU283" s="50" t="s">
        <v>348</v>
      </c>
      <c r="BV283" s="50" t="s">
        <v>288</v>
      </c>
      <c r="BW283" s="50" t="s">
        <v>350</v>
      </c>
      <c r="BX283" s="50" t="s">
        <v>294</v>
      </c>
      <c r="BY283" s="50" t="s">
        <v>288</v>
      </c>
      <c r="BZ283" s="50" t="s">
        <v>287</v>
      </c>
      <c r="CA283" s="50"/>
      <c r="CB283" s="50" t="s">
        <v>287</v>
      </c>
      <c r="CC283" s="50" t="s">
        <v>287</v>
      </c>
      <c r="CD283" s="50" t="s">
        <v>287</v>
      </c>
      <c r="CE283" s="50"/>
      <c r="CF283" s="50" t="s">
        <v>287</v>
      </c>
      <c r="CG283" s="50" t="s">
        <v>287</v>
      </c>
      <c r="CH283" s="50" t="s">
        <v>486</v>
      </c>
      <c r="CI283" s="50" t="s">
        <v>287</v>
      </c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</row>
    <row r="284" spans="1:97" ht="36.75" customHeight="1" thickBot="1">
      <c r="A284" s="49">
        <v>46092.642974537041</v>
      </c>
      <c r="B284" s="50" t="s">
        <v>40</v>
      </c>
      <c r="C284" s="50" t="s">
        <v>45</v>
      </c>
      <c r="D284" s="50" t="s">
        <v>374</v>
      </c>
      <c r="E284" s="50" t="s">
        <v>61</v>
      </c>
      <c r="F284" s="50" t="s">
        <v>286</v>
      </c>
      <c r="G284" s="50" t="s">
        <v>74</v>
      </c>
      <c r="H284" s="50" t="s">
        <v>302</v>
      </c>
      <c r="I284" s="50" t="s">
        <v>81</v>
      </c>
      <c r="J284" s="50" t="s">
        <v>286</v>
      </c>
      <c r="K284" s="50" t="s">
        <v>287</v>
      </c>
      <c r="L284" s="50" t="s">
        <v>379</v>
      </c>
      <c r="M284" s="50" t="s">
        <v>370</v>
      </c>
      <c r="N284" s="111">
        <v>5</v>
      </c>
      <c r="O284" s="111">
        <v>5</v>
      </c>
      <c r="P284" s="111">
        <v>5</v>
      </c>
      <c r="Q284" s="111">
        <v>5</v>
      </c>
      <c r="R284" s="111">
        <v>6</v>
      </c>
      <c r="S284" s="111">
        <v>6</v>
      </c>
      <c r="T284" s="111">
        <v>5</v>
      </c>
      <c r="U284" s="111">
        <v>5</v>
      </c>
      <c r="V284" s="111">
        <v>6</v>
      </c>
      <c r="W284" s="111">
        <v>6</v>
      </c>
      <c r="X284" s="111">
        <v>6</v>
      </c>
      <c r="Y284" s="111">
        <v>6</v>
      </c>
      <c r="Z284" s="111">
        <v>6</v>
      </c>
      <c r="AA284" s="111">
        <v>6</v>
      </c>
      <c r="AB284" s="111">
        <v>6</v>
      </c>
      <c r="AC284" s="111">
        <v>5</v>
      </c>
      <c r="AD284" s="111">
        <v>5</v>
      </c>
      <c r="AE284" s="111">
        <v>5</v>
      </c>
      <c r="AF284" s="111">
        <v>5</v>
      </c>
      <c r="AG284" s="111">
        <v>5</v>
      </c>
      <c r="AH284" s="111">
        <v>5</v>
      </c>
      <c r="AI284" s="111">
        <v>5</v>
      </c>
      <c r="AJ284" s="111">
        <v>5</v>
      </c>
      <c r="AK284" s="111">
        <v>5</v>
      </c>
      <c r="AL284" s="111">
        <v>5</v>
      </c>
      <c r="AM284" s="111">
        <v>5</v>
      </c>
      <c r="AN284" s="111">
        <v>5</v>
      </c>
      <c r="AO284" s="111">
        <v>5</v>
      </c>
      <c r="AP284" s="111">
        <v>5</v>
      </c>
      <c r="AQ284" s="111">
        <v>6</v>
      </c>
      <c r="AR284" s="111">
        <v>5</v>
      </c>
      <c r="AS284" s="111">
        <v>5</v>
      </c>
      <c r="AT284" s="111">
        <v>5</v>
      </c>
      <c r="AU284" s="111">
        <v>5</v>
      </c>
      <c r="AV284" s="50" t="s">
        <v>202</v>
      </c>
      <c r="AW284" s="50" t="s">
        <v>202</v>
      </c>
      <c r="AX284" s="50" t="s">
        <v>201</v>
      </c>
      <c r="AY284" s="50" t="s">
        <v>199</v>
      </c>
      <c r="AZ284" s="50" t="s">
        <v>202</v>
      </c>
      <c r="BA284" s="50" t="s">
        <v>199</v>
      </c>
      <c r="BB284" s="50" t="s">
        <v>202</v>
      </c>
      <c r="BC284" s="50" t="s">
        <v>202</v>
      </c>
      <c r="BD284" s="50" t="s">
        <v>202</v>
      </c>
      <c r="BE284" s="50" t="s">
        <v>202</v>
      </c>
      <c r="BF284" s="50" t="s">
        <v>201</v>
      </c>
      <c r="BG284" s="50" t="s">
        <v>202</v>
      </c>
      <c r="BH284" s="50" t="s">
        <v>201</v>
      </c>
      <c r="BI284" s="50" t="s">
        <v>202</v>
      </c>
      <c r="BJ284" s="50" t="s">
        <v>202</v>
      </c>
      <c r="BK284" s="50" t="s">
        <v>202</v>
      </c>
      <c r="BL284" s="50" t="s">
        <v>202</v>
      </c>
      <c r="BM284" s="50" t="s">
        <v>436</v>
      </c>
      <c r="BN284" s="50" t="s">
        <v>399</v>
      </c>
      <c r="BO284" s="50" t="s">
        <v>91</v>
      </c>
      <c r="BP284" s="50" t="s">
        <v>286</v>
      </c>
      <c r="BQ284" s="50" t="s">
        <v>287</v>
      </c>
      <c r="BR284" s="50" t="s">
        <v>448</v>
      </c>
      <c r="BS284" s="111">
        <v>5</v>
      </c>
      <c r="BT284" s="50" t="s">
        <v>286</v>
      </c>
      <c r="BU284" s="50" t="s">
        <v>348</v>
      </c>
      <c r="BV284" s="50" t="s">
        <v>288</v>
      </c>
      <c r="BW284" s="50" t="s">
        <v>350</v>
      </c>
      <c r="BX284" s="50" t="s">
        <v>294</v>
      </c>
      <c r="BY284" s="50" t="s">
        <v>288</v>
      </c>
      <c r="BZ284" s="50" t="s">
        <v>287</v>
      </c>
      <c r="CA284" s="50"/>
      <c r="CB284" s="50" t="s">
        <v>287</v>
      </c>
      <c r="CC284" s="50" t="s">
        <v>287</v>
      </c>
      <c r="CD284" s="50" t="s">
        <v>287</v>
      </c>
      <c r="CE284" s="50"/>
      <c r="CF284" s="50" t="s">
        <v>287</v>
      </c>
      <c r="CG284" s="50" t="s">
        <v>287</v>
      </c>
      <c r="CH284" s="50" t="s">
        <v>486</v>
      </c>
      <c r="CI284" s="50" t="s">
        <v>287</v>
      </c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</row>
    <row r="285" spans="1:97" ht="36.75" customHeight="1" thickBot="1">
      <c r="A285" s="49">
        <v>46093.376122685186</v>
      </c>
      <c r="B285" s="50" t="s">
        <v>35</v>
      </c>
      <c r="C285" s="50" t="s">
        <v>45</v>
      </c>
      <c r="D285" s="50" t="s">
        <v>369</v>
      </c>
      <c r="E285" s="50" t="s">
        <v>285</v>
      </c>
      <c r="F285" s="50" t="s">
        <v>286</v>
      </c>
      <c r="G285" s="50" t="s">
        <v>73</v>
      </c>
      <c r="H285" s="50" t="s">
        <v>330</v>
      </c>
      <c r="I285" s="50" t="s">
        <v>91</v>
      </c>
      <c r="J285" s="50" t="s">
        <v>286</v>
      </c>
      <c r="K285" s="50" t="s">
        <v>291</v>
      </c>
      <c r="L285" s="50" t="s">
        <v>286</v>
      </c>
      <c r="M285" s="50" t="s">
        <v>319</v>
      </c>
      <c r="N285" s="111">
        <v>5</v>
      </c>
      <c r="O285" s="111">
        <v>5</v>
      </c>
      <c r="P285" s="111">
        <v>5</v>
      </c>
      <c r="Q285" s="111">
        <v>5</v>
      </c>
      <c r="R285" s="111">
        <v>6</v>
      </c>
      <c r="S285" s="111">
        <v>6</v>
      </c>
      <c r="T285" s="111">
        <v>5</v>
      </c>
      <c r="U285" s="111">
        <v>5</v>
      </c>
      <c r="V285" s="111">
        <v>6</v>
      </c>
      <c r="W285" s="111">
        <v>6</v>
      </c>
      <c r="X285" s="111">
        <v>6</v>
      </c>
      <c r="Y285" s="111">
        <v>6</v>
      </c>
      <c r="Z285" s="111">
        <v>5</v>
      </c>
      <c r="AA285" s="111">
        <v>6</v>
      </c>
      <c r="AB285" s="111">
        <v>5</v>
      </c>
      <c r="AC285" s="111">
        <v>5</v>
      </c>
      <c r="AD285" s="111">
        <v>5</v>
      </c>
      <c r="AE285" s="111">
        <v>5</v>
      </c>
      <c r="AF285" s="111">
        <v>5</v>
      </c>
      <c r="AG285" s="111">
        <v>5</v>
      </c>
      <c r="AH285" s="111">
        <v>5</v>
      </c>
      <c r="AI285" s="111">
        <v>5</v>
      </c>
      <c r="AJ285" s="111">
        <v>5</v>
      </c>
      <c r="AK285" s="111">
        <v>5</v>
      </c>
      <c r="AL285" s="111">
        <v>5</v>
      </c>
      <c r="AM285" s="111">
        <v>5</v>
      </c>
      <c r="AN285" s="111">
        <v>5</v>
      </c>
      <c r="AO285" s="111">
        <v>5</v>
      </c>
      <c r="AP285" s="111">
        <v>5</v>
      </c>
      <c r="AQ285" s="111">
        <v>6</v>
      </c>
      <c r="AR285" s="111">
        <v>5</v>
      </c>
      <c r="AS285" s="111">
        <v>5</v>
      </c>
      <c r="AT285" s="111">
        <v>5</v>
      </c>
      <c r="AU285" s="111">
        <v>5</v>
      </c>
      <c r="AV285" s="50" t="s">
        <v>202</v>
      </c>
      <c r="AW285" s="50" t="s">
        <v>202</v>
      </c>
      <c r="AX285" s="50" t="s">
        <v>201</v>
      </c>
      <c r="AY285" s="50" t="s">
        <v>199</v>
      </c>
      <c r="AZ285" s="50" t="s">
        <v>202</v>
      </c>
      <c r="BA285" s="50" t="s">
        <v>199</v>
      </c>
      <c r="BB285" s="50" t="s">
        <v>202</v>
      </c>
      <c r="BC285" s="50" t="s">
        <v>202</v>
      </c>
      <c r="BD285" s="50" t="s">
        <v>202</v>
      </c>
      <c r="BE285" s="50" t="s">
        <v>202</v>
      </c>
      <c r="BF285" s="50" t="s">
        <v>199</v>
      </c>
      <c r="BG285" s="50" t="s">
        <v>202</v>
      </c>
      <c r="BH285" s="50" t="s">
        <v>199</v>
      </c>
      <c r="BI285" s="50" t="s">
        <v>202</v>
      </c>
      <c r="BJ285" s="50" t="s">
        <v>202</v>
      </c>
      <c r="BK285" s="50" t="s">
        <v>202</v>
      </c>
      <c r="BL285" s="50" t="s">
        <v>202</v>
      </c>
      <c r="BM285" s="50" t="s">
        <v>436</v>
      </c>
      <c r="BN285" s="50" t="s">
        <v>318</v>
      </c>
      <c r="BO285" s="50" t="s">
        <v>91</v>
      </c>
      <c r="BP285" s="50" t="s">
        <v>286</v>
      </c>
      <c r="BQ285" s="50" t="s">
        <v>287</v>
      </c>
      <c r="BR285" s="50" t="s">
        <v>372</v>
      </c>
      <c r="BS285" s="111">
        <v>5</v>
      </c>
      <c r="BT285" s="50" t="s">
        <v>286</v>
      </c>
      <c r="BU285" s="50" t="s">
        <v>348</v>
      </c>
      <c r="BV285" s="50" t="s">
        <v>288</v>
      </c>
      <c r="BW285" s="50" t="s">
        <v>350</v>
      </c>
      <c r="BX285" s="50" t="s">
        <v>387</v>
      </c>
      <c r="BY285" s="50" t="s">
        <v>288</v>
      </c>
      <c r="BZ285" s="50" t="s">
        <v>287</v>
      </c>
      <c r="CA285" s="50"/>
      <c r="CB285" s="50" t="s">
        <v>287</v>
      </c>
      <c r="CC285" s="50" t="s">
        <v>287</v>
      </c>
      <c r="CD285" s="50" t="s">
        <v>287</v>
      </c>
      <c r="CE285" s="50"/>
      <c r="CF285" s="50" t="s">
        <v>287</v>
      </c>
      <c r="CG285" s="50" t="s">
        <v>287</v>
      </c>
      <c r="CH285" s="50" t="s">
        <v>486</v>
      </c>
      <c r="CI285" s="50" t="s">
        <v>287</v>
      </c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</row>
    <row r="286" spans="1:97" ht="36.75" customHeight="1" thickBot="1">
      <c r="A286" s="49">
        <v>46093.379849537036</v>
      </c>
      <c r="B286" s="50" t="s">
        <v>40</v>
      </c>
      <c r="C286" s="50" t="s">
        <v>45</v>
      </c>
      <c r="D286" s="50" t="s">
        <v>374</v>
      </c>
      <c r="E286" s="50" t="s">
        <v>62</v>
      </c>
      <c r="F286" s="50" t="s">
        <v>286</v>
      </c>
      <c r="G286" s="50" t="s">
        <v>73</v>
      </c>
      <c r="H286" s="50" t="s">
        <v>573</v>
      </c>
      <c r="I286" s="50" t="s">
        <v>91</v>
      </c>
      <c r="J286" s="50" t="s">
        <v>286</v>
      </c>
      <c r="K286" s="50" t="s">
        <v>291</v>
      </c>
      <c r="L286" s="50" t="s">
        <v>286</v>
      </c>
      <c r="M286" s="50" t="s">
        <v>319</v>
      </c>
      <c r="N286" s="111">
        <v>5</v>
      </c>
      <c r="O286" s="111">
        <v>5</v>
      </c>
      <c r="P286" s="111">
        <v>5</v>
      </c>
      <c r="Q286" s="111">
        <v>5</v>
      </c>
      <c r="R286" s="111">
        <v>6</v>
      </c>
      <c r="S286" s="111">
        <v>6</v>
      </c>
      <c r="T286" s="111">
        <v>5</v>
      </c>
      <c r="U286" s="111">
        <v>5</v>
      </c>
      <c r="V286" s="111">
        <v>6</v>
      </c>
      <c r="W286" s="111">
        <v>6</v>
      </c>
      <c r="X286" s="111">
        <v>6</v>
      </c>
      <c r="Y286" s="111">
        <v>6</v>
      </c>
      <c r="Z286" s="111">
        <v>5</v>
      </c>
      <c r="AA286" s="111">
        <v>6</v>
      </c>
      <c r="AB286" s="111">
        <v>5</v>
      </c>
      <c r="AC286" s="111">
        <v>5</v>
      </c>
      <c r="AD286" s="111">
        <v>5</v>
      </c>
      <c r="AE286" s="111">
        <v>5</v>
      </c>
      <c r="AF286" s="111">
        <v>5</v>
      </c>
      <c r="AG286" s="111">
        <v>5</v>
      </c>
      <c r="AH286" s="111">
        <v>5</v>
      </c>
      <c r="AI286" s="111">
        <v>5</v>
      </c>
      <c r="AJ286" s="111">
        <v>5</v>
      </c>
      <c r="AK286" s="111">
        <v>5</v>
      </c>
      <c r="AL286" s="111">
        <v>5</v>
      </c>
      <c r="AM286" s="111">
        <v>5</v>
      </c>
      <c r="AN286" s="111">
        <v>5</v>
      </c>
      <c r="AO286" s="111">
        <v>5</v>
      </c>
      <c r="AP286" s="111">
        <v>5</v>
      </c>
      <c r="AQ286" s="111">
        <v>6</v>
      </c>
      <c r="AR286" s="111">
        <v>5</v>
      </c>
      <c r="AS286" s="111">
        <v>5</v>
      </c>
      <c r="AT286" s="111">
        <v>5</v>
      </c>
      <c r="AU286" s="111">
        <v>5</v>
      </c>
      <c r="AV286" s="50" t="s">
        <v>202</v>
      </c>
      <c r="AW286" s="50" t="s">
        <v>202</v>
      </c>
      <c r="AX286" s="50" t="s">
        <v>201</v>
      </c>
      <c r="AY286" s="50" t="s">
        <v>199</v>
      </c>
      <c r="AZ286" s="50" t="s">
        <v>202</v>
      </c>
      <c r="BA286" s="50" t="s">
        <v>199</v>
      </c>
      <c r="BB286" s="50" t="s">
        <v>202</v>
      </c>
      <c r="BC286" s="50" t="s">
        <v>202</v>
      </c>
      <c r="BD286" s="50" t="s">
        <v>202</v>
      </c>
      <c r="BE286" s="50" t="s">
        <v>202</v>
      </c>
      <c r="BF286" s="50" t="s">
        <v>199</v>
      </c>
      <c r="BG286" s="50" t="s">
        <v>202</v>
      </c>
      <c r="BH286" s="50" t="s">
        <v>199</v>
      </c>
      <c r="BI286" s="50" t="s">
        <v>202</v>
      </c>
      <c r="BJ286" s="50" t="s">
        <v>199</v>
      </c>
      <c r="BK286" s="50" t="s">
        <v>202</v>
      </c>
      <c r="BL286" s="50" t="s">
        <v>202</v>
      </c>
      <c r="BM286" s="50" t="s">
        <v>436</v>
      </c>
      <c r="BN286" s="50" t="s">
        <v>399</v>
      </c>
      <c r="BO286" s="50" t="s">
        <v>91</v>
      </c>
      <c r="BP286" s="50" t="s">
        <v>286</v>
      </c>
      <c r="BQ286" s="50" t="s">
        <v>287</v>
      </c>
      <c r="BR286" s="50" t="s">
        <v>372</v>
      </c>
      <c r="BS286" s="111">
        <v>5</v>
      </c>
      <c r="BT286" s="50" t="s">
        <v>286</v>
      </c>
      <c r="BU286" s="50" t="s">
        <v>348</v>
      </c>
      <c r="BV286" s="50" t="s">
        <v>288</v>
      </c>
      <c r="BW286" s="50" t="s">
        <v>350</v>
      </c>
      <c r="BX286" s="50" t="s">
        <v>387</v>
      </c>
      <c r="BY286" s="50" t="s">
        <v>288</v>
      </c>
      <c r="BZ286" s="50" t="s">
        <v>91</v>
      </c>
      <c r="CA286" s="50"/>
      <c r="CB286" s="50" t="s">
        <v>287</v>
      </c>
      <c r="CC286" s="50" t="s">
        <v>287</v>
      </c>
      <c r="CD286" s="50" t="s">
        <v>287</v>
      </c>
      <c r="CE286" s="50"/>
      <c r="CF286" s="50" t="s">
        <v>287</v>
      </c>
      <c r="CG286" s="50" t="s">
        <v>287</v>
      </c>
      <c r="CH286" s="50" t="s">
        <v>486</v>
      </c>
      <c r="CI286" s="50" t="s">
        <v>287</v>
      </c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</row>
    <row r="287" spans="1:97" ht="36.75" customHeight="1" thickBot="1">
      <c r="A287" s="49">
        <v>46093.3825462963</v>
      </c>
      <c r="B287" s="50" t="s">
        <v>36</v>
      </c>
      <c r="C287" s="50" t="s">
        <v>45</v>
      </c>
      <c r="D287" s="50" t="s">
        <v>369</v>
      </c>
      <c r="E287" s="50" t="s">
        <v>285</v>
      </c>
      <c r="F287" s="50" t="s">
        <v>286</v>
      </c>
      <c r="G287" s="50" t="s">
        <v>74</v>
      </c>
      <c r="H287" s="50" t="s">
        <v>302</v>
      </c>
      <c r="I287" s="50" t="s">
        <v>91</v>
      </c>
      <c r="J287" s="50" t="s">
        <v>286</v>
      </c>
      <c r="K287" s="50" t="s">
        <v>287</v>
      </c>
      <c r="L287" s="50" t="s">
        <v>286</v>
      </c>
      <c r="M287" s="50" t="s">
        <v>319</v>
      </c>
      <c r="N287" s="111">
        <v>5</v>
      </c>
      <c r="O287" s="111">
        <v>5</v>
      </c>
      <c r="P287" s="111">
        <v>5</v>
      </c>
      <c r="Q287" s="111">
        <v>5</v>
      </c>
      <c r="R287" s="111">
        <v>6</v>
      </c>
      <c r="S287" s="111">
        <v>6</v>
      </c>
      <c r="T287" s="111">
        <v>5</v>
      </c>
      <c r="U287" s="111">
        <v>5</v>
      </c>
      <c r="V287" s="111">
        <v>6</v>
      </c>
      <c r="W287" s="111">
        <v>6</v>
      </c>
      <c r="X287" s="111">
        <v>6</v>
      </c>
      <c r="Y287" s="111">
        <v>6</v>
      </c>
      <c r="Z287" s="111">
        <v>5</v>
      </c>
      <c r="AA287" s="111">
        <v>6</v>
      </c>
      <c r="AB287" s="111">
        <v>5</v>
      </c>
      <c r="AC287" s="111">
        <v>5</v>
      </c>
      <c r="AD287" s="111">
        <v>5</v>
      </c>
      <c r="AE287" s="111">
        <v>5</v>
      </c>
      <c r="AF287" s="111">
        <v>5</v>
      </c>
      <c r="AG287" s="111">
        <v>5</v>
      </c>
      <c r="AH287" s="111">
        <v>5</v>
      </c>
      <c r="AI287" s="111">
        <v>5</v>
      </c>
      <c r="AJ287" s="111">
        <v>5</v>
      </c>
      <c r="AK287" s="111">
        <v>5</v>
      </c>
      <c r="AL287" s="111">
        <v>5</v>
      </c>
      <c r="AM287" s="111">
        <v>5</v>
      </c>
      <c r="AN287" s="111">
        <v>5</v>
      </c>
      <c r="AO287" s="111">
        <v>5</v>
      </c>
      <c r="AP287" s="111">
        <v>5</v>
      </c>
      <c r="AQ287" s="111">
        <v>6</v>
      </c>
      <c r="AR287" s="111">
        <v>5</v>
      </c>
      <c r="AS287" s="111">
        <v>5</v>
      </c>
      <c r="AT287" s="111">
        <v>5</v>
      </c>
      <c r="AU287" s="111">
        <v>5</v>
      </c>
      <c r="AV287" s="50" t="s">
        <v>202</v>
      </c>
      <c r="AW287" s="50" t="s">
        <v>202</v>
      </c>
      <c r="AX287" s="50" t="s">
        <v>201</v>
      </c>
      <c r="AY287" s="50" t="s">
        <v>199</v>
      </c>
      <c r="AZ287" s="50" t="s">
        <v>202</v>
      </c>
      <c r="BA287" s="50" t="s">
        <v>199</v>
      </c>
      <c r="BB287" s="50" t="s">
        <v>202</v>
      </c>
      <c r="BC287" s="50" t="s">
        <v>202</v>
      </c>
      <c r="BD287" s="50" t="s">
        <v>202</v>
      </c>
      <c r="BE287" s="50" t="s">
        <v>202</v>
      </c>
      <c r="BF287" s="50" t="s">
        <v>199</v>
      </c>
      <c r="BG287" s="50" t="s">
        <v>202</v>
      </c>
      <c r="BH287" s="50" t="s">
        <v>199</v>
      </c>
      <c r="BI287" s="50" t="s">
        <v>202</v>
      </c>
      <c r="BJ287" s="50" t="s">
        <v>199</v>
      </c>
      <c r="BK287" s="50" t="s">
        <v>202</v>
      </c>
      <c r="BL287" s="50" t="s">
        <v>202</v>
      </c>
      <c r="BM287" s="50" t="s">
        <v>436</v>
      </c>
      <c r="BN287" s="50" t="s">
        <v>318</v>
      </c>
      <c r="BO287" s="50" t="s">
        <v>91</v>
      </c>
      <c r="BP287" s="50" t="s">
        <v>286</v>
      </c>
      <c r="BQ287" s="50" t="s">
        <v>287</v>
      </c>
      <c r="BR287" s="50" t="s">
        <v>448</v>
      </c>
      <c r="BS287" s="111">
        <v>5</v>
      </c>
      <c r="BT287" s="50" t="s">
        <v>286</v>
      </c>
      <c r="BU287" s="50" t="s">
        <v>348</v>
      </c>
      <c r="BV287" s="50" t="s">
        <v>288</v>
      </c>
      <c r="BW287" s="50" t="s">
        <v>350</v>
      </c>
      <c r="BX287" s="50" t="s">
        <v>387</v>
      </c>
      <c r="BY287" s="50" t="s">
        <v>288</v>
      </c>
      <c r="BZ287" s="50" t="s">
        <v>287</v>
      </c>
      <c r="CA287" s="50"/>
      <c r="CB287" s="50" t="s">
        <v>287</v>
      </c>
      <c r="CC287" s="50" t="s">
        <v>287</v>
      </c>
      <c r="CD287" s="50" t="s">
        <v>287</v>
      </c>
      <c r="CE287" s="50"/>
      <c r="CF287" s="50" t="s">
        <v>287</v>
      </c>
      <c r="CG287" s="50" t="s">
        <v>287</v>
      </c>
      <c r="CH287" s="50" t="s">
        <v>486</v>
      </c>
      <c r="CI287" s="50" t="s">
        <v>287</v>
      </c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</row>
    <row r="288" spans="1:97" ht="36.75" customHeight="1" thickBot="1">
      <c r="A288" s="49">
        <v>46093.385983796295</v>
      </c>
      <c r="B288" s="50" t="s">
        <v>40</v>
      </c>
      <c r="C288" s="50" t="s">
        <v>45</v>
      </c>
      <c r="D288" s="50" t="s">
        <v>369</v>
      </c>
      <c r="E288" s="50" t="s">
        <v>61</v>
      </c>
      <c r="F288" s="50" t="s">
        <v>286</v>
      </c>
      <c r="G288" s="50" t="s">
        <v>73</v>
      </c>
      <c r="H288" s="50" t="s">
        <v>574</v>
      </c>
      <c r="I288" s="50" t="s">
        <v>91</v>
      </c>
      <c r="J288" s="50" t="s">
        <v>286</v>
      </c>
      <c r="K288" s="50" t="s">
        <v>291</v>
      </c>
      <c r="L288" s="50" t="s">
        <v>286</v>
      </c>
      <c r="M288" s="50" t="s">
        <v>370</v>
      </c>
      <c r="N288" s="111">
        <v>5</v>
      </c>
      <c r="O288" s="111">
        <v>5</v>
      </c>
      <c r="P288" s="111">
        <v>5</v>
      </c>
      <c r="Q288" s="111">
        <v>5</v>
      </c>
      <c r="R288" s="111">
        <v>6</v>
      </c>
      <c r="S288" s="111">
        <v>6</v>
      </c>
      <c r="T288" s="111">
        <v>5</v>
      </c>
      <c r="U288" s="111">
        <v>5</v>
      </c>
      <c r="V288" s="111">
        <v>6</v>
      </c>
      <c r="W288" s="111">
        <v>6</v>
      </c>
      <c r="X288" s="111">
        <v>6</v>
      </c>
      <c r="Y288" s="111">
        <v>6</v>
      </c>
      <c r="Z288" s="111">
        <v>6</v>
      </c>
      <c r="AA288" s="111">
        <v>6</v>
      </c>
      <c r="AB288" s="111">
        <v>6</v>
      </c>
      <c r="AC288" s="111">
        <v>5</v>
      </c>
      <c r="AD288" s="111">
        <v>5</v>
      </c>
      <c r="AE288" s="111">
        <v>5</v>
      </c>
      <c r="AF288" s="111">
        <v>5</v>
      </c>
      <c r="AG288" s="111">
        <v>5</v>
      </c>
      <c r="AH288" s="111">
        <v>5</v>
      </c>
      <c r="AI288" s="111">
        <v>5</v>
      </c>
      <c r="AJ288" s="111">
        <v>5</v>
      </c>
      <c r="AK288" s="111">
        <v>5</v>
      </c>
      <c r="AL288" s="111">
        <v>5</v>
      </c>
      <c r="AM288" s="111">
        <v>5</v>
      </c>
      <c r="AN288" s="111">
        <v>5</v>
      </c>
      <c r="AO288" s="111">
        <v>5</v>
      </c>
      <c r="AP288" s="111">
        <v>5</v>
      </c>
      <c r="AQ288" s="111">
        <v>6</v>
      </c>
      <c r="AR288" s="111">
        <v>5</v>
      </c>
      <c r="AS288" s="111">
        <v>5</v>
      </c>
      <c r="AT288" s="111">
        <v>5</v>
      </c>
      <c r="AU288" s="111">
        <v>5</v>
      </c>
      <c r="AV288" s="50" t="s">
        <v>202</v>
      </c>
      <c r="AW288" s="50" t="s">
        <v>202</v>
      </c>
      <c r="AX288" s="50" t="s">
        <v>201</v>
      </c>
      <c r="AY288" s="50" t="s">
        <v>199</v>
      </c>
      <c r="AZ288" s="50" t="s">
        <v>201</v>
      </c>
      <c r="BA288" s="50" t="s">
        <v>199</v>
      </c>
      <c r="BB288" s="50" t="s">
        <v>201</v>
      </c>
      <c r="BC288" s="50" t="s">
        <v>201</v>
      </c>
      <c r="BD288" s="50" t="s">
        <v>201</v>
      </c>
      <c r="BE288" s="50" t="s">
        <v>201</v>
      </c>
      <c r="BF288" s="50" t="s">
        <v>201</v>
      </c>
      <c r="BG288" s="50" t="s">
        <v>202</v>
      </c>
      <c r="BH288" s="50" t="s">
        <v>201</v>
      </c>
      <c r="BI288" s="50" t="s">
        <v>202</v>
      </c>
      <c r="BJ288" s="50" t="s">
        <v>202</v>
      </c>
      <c r="BK288" s="50" t="s">
        <v>202</v>
      </c>
      <c r="BL288" s="50" t="s">
        <v>202</v>
      </c>
      <c r="BM288" s="50" t="s">
        <v>436</v>
      </c>
      <c r="BN288" s="50" t="s">
        <v>388</v>
      </c>
      <c r="BO288" s="50" t="s">
        <v>91</v>
      </c>
      <c r="BP288" s="50" t="s">
        <v>286</v>
      </c>
      <c r="BQ288" s="50" t="s">
        <v>287</v>
      </c>
      <c r="BR288" s="50" t="s">
        <v>372</v>
      </c>
      <c r="BS288" s="111">
        <v>5</v>
      </c>
      <c r="BT288" s="50" t="s">
        <v>286</v>
      </c>
      <c r="BU288" s="50" t="s">
        <v>348</v>
      </c>
      <c r="BV288" s="50" t="s">
        <v>288</v>
      </c>
      <c r="BW288" s="50" t="s">
        <v>350</v>
      </c>
      <c r="BX288" s="50" t="s">
        <v>387</v>
      </c>
      <c r="BY288" s="50" t="s">
        <v>288</v>
      </c>
      <c r="BZ288" s="50" t="s">
        <v>287</v>
      </c>
      <c r="CA288" s="50"/>
      <c r="CB288" s="50" t="s">
        <v>287</v>
      </c>
      <c r="CC288" s="50" t="s">
        <v>287</v>
      </c>
      <c r="CD288" s="50" t="s">
        <v>287</v>
      </c>
      <c r="CE288" s="50"/>
      <c r="CF288" s="50" t="s">
        <v>287</v>
      </c>
      <c r="CG288" s="50" t="s">
        <v>287</v>
      </c>
      <c r="CH288" s="50" t="s">
        <v>486</v>
      </c>
      <c r="CI288" s="50" t="s">
        <v>287</v>
      </c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</row>
    <row r="289" spans="1:97" ht="36.75" customHeight="1" thickBot="1">
      <c r="A289" s="49">
        <v>46094.564988425926</v>
      </c>
      <c r="B289" s="50" t="s">
        <v>40</v>
      </c>
      <c r="C289" s="50" t="s">
        <v>46</v>
      </c>
      <c r="D289" s="50" t="s">
        <v>369</v>
      </c>
      <c r="E289" s="50" t="s">
        <v>61</v>
      </c>
      <c r="F289" s="50" t="s">
        <v>286</v>
      </c>
      <c r="G289" s="50" t="s">
        <v>73</v>
      </c>
      <c r="H289" s="50" t="s">
        <v>313</v>
      </c>
      <c r="I289" s="50" t="s">
        <v>81</v>
      </c>
      <c r="J289" s="50" t="s">
        <v>286</v>
      </c>
      <c r="K289" s="50" t="s">
        <v>287</v>
      </c>
      <c r="L289" s="50" t="s">
        <v>379</v>
      </c>
      <c r="M289" s="50" t="s">
        <v>370</v>
      </c>
      <c r="N289" s="111">
        <v>5</v>
      </c>
      <c r="O289" s="111">
        <v>5</v>
      </c>
      <c r="P289" s="111">
        <v>5</v>
      </c>
      <c r="Q289" s="111">
        <v>5</v>
      </c>
      <c r="R289" s="111">
        <v>6</v>
      </c>
      <c r="S289" s="111">
        <v>6</v>
      </c>
      <c r="T289" s="111">
        <v>5</v>
      </c>
      <c r="U289" s="111">
        <v>5</v>
      </c>
      <c r="V289" s="111">
        <v>6</v>
      </c>
      <c r="W289" s="111">
        <v>6</v>
      </c>
      <c r="X289" s="111">
        <v>6</v>
      </c>
      <c r="Y289" s="111">
        <v>6</v>
      </c>
      <c r="Z289" s="111">
        <v>6</v>
      </c>
      <c r="AA289" s="111">
        <v>6</v>
      </c>
      <c r="AB289" s="111">
        <v>6</v>
      </c>
      <c r="AC289" s="111">
        <v>5</v>
      </c>
      <c r="AD289" s="111">
        <v>5</v>
      </c>
      <c r="AE289" s="111">
        <v>5</v>
      </c>
      <c r="AF289" s="111">
        <v>5</v>
      </c>
      <c r="AG289" s="111">
        <v>5</v>
      </c>
      <c r="AH289" s="111">
        <v>5</v>
      </c>
      <c r="AI289" s="111">
        <v>5</v>
      </c>
      <c r="AJ289" s="111">
        <v>5</v>
      </c>
      <c r="AK289" s="111">
        <v>5</v>
      </c>
      <c r="AL289" s="111">
        <v>5</v>
      </c>
      <c r="AM289" s="111">
        <v>5</v>
      </c>
      <c r="AN289" s="111">
        <v>5</v>
      </c>
      <c r="AO289" s="111">
        <v>5</v>
      </c>
      <c r="AP289" s="111">
        <v>5</v>
      </c>
      <c r="AQ289" s="111">
        <v>6</v>
      </c>
      <c r="AR289" s="111">
        <v>5</v>
      </c>
      <c r="AS289" s="111">
        <v>5</v>
      </c>
      <c r="AT289" s="111">
        <v>5</v>
      </c>
      <c r="AU289" s="111">
        <v>5</v>
      </c>
      <c r="AV289" s="50" t="s">
        <v>202</v>
      </c>
      <c r="AW289" s="50" t="s">
        <v>202</v>
      </c>
      <c r="AX289" s="50" t="s">
        <v>199</v>
      </c>
      <c r="AY289" s="50" t="s">
        <v>199</v>
      </c>
      <c r="AZ289" s="50" t="s">
        <v>202</v>
      </c>
      <c r="BA289" s="50" t="s">
        <v>199</v>
      </c>
      <c r="BB289" s="50" t="s">
        <v>202</v>
      </c>
      <c r="BC289" s="50" t="s">
        <v>202</v>
      </c>
      <c r="BD289" s="50" t="s">
        <v>202</v>
      </c>
      <c r="BE289" s="50" t="s">
        <v>199</v>
      </c>
      <c r="BF289" s="50" t="s">
        <v>199</v>
      </c>
      <c r="BG289" s="50" t="s">
        <v>202</v>
      </c>
      <c r="BH289" s="50" t="s">
        <v>200</v>
      </c>
      <c r="BI289" s="50" t="s">
        <v>202</v>
      </c>
      <c r="BJ289" s="50" t="s">
        <v>202</v>
      </c>
      <c r="BK289" s="50" t="s">
        <v>202</v>
      </c>
      <c r="BL289" s="50" t="s">
        <v>202</v>
      </c>
      <c r="BM289" s="50" t="s">
        <v>436</v>
      </c>
      <c r="BN289" s="50" t="s">
        <v>318</v>
      </c>
      <c r="BO289" s="50" t="s">
        <v>91</v>
      </c>
      <c r="BP289" s="50" t="s">
        <v>286</v>
      </c>
      <c r="BQ289" s="50" t="s">
        <v>287</v>
      </c>
      <c r="BR289" s="50" t="s">
        <v>372</v>
      </c>
      <c r="BS289" s="111">
        <v>5</v>
      </c>
      <c r="BT289" s="50" t="s">
        <v>286</v>
      </c>
      <c r="BU289" s="50" t="s">
        <v>348</v>
      </c>
      <c r="BV289" s="50" t="s">
        <v>288</v>
      </c>
      <c r="BW289" s="50" t="s">
        <v>350</v>
      </c>
      <c r="BX289" s="50" t="s">
        <v>387</v>
      </c>
      <c r="BY289" s="50" t="s">
        <v>288</v>
      </c>
      <c r="BZ289" s="50" t="s">
        <v>287</v>
      </c>
      <c r="CA289" s="50"/>
      <c r="CB289" s="50" t="s">
        <v>287</v>
      </c>
      <c r="CC289" s="50" t="s">
        <v>287</v>
      </c>
      <c r="CD289" s="50" t="s">
        <v>287</v>
      </c>
      <c r="CE289" s="50"/>
      <c r="CF289" s="50" t="s">
        <v>287</v>
      </c>
      <c r="CG289" s="50" t="s">
        <v>287</v>
      </c>
      <c r="CH289" s="50" t="s">
        <v>486</v>
      </c>
      <c r="CI289" s="50" t="s">
        <v>287</v>
      </c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</row>
    <row r="290" spans="1:97" ht="36.75" customHeight="1" thickBot="1">
      <c r="A290" s="49">
        <v>46094.567476851851</v>
      </c>
      <c r="B290" s="50" t="s">
        <v>40</v>
      </c>
      <c r="C290" s="50" t="s">
        <v>45</v>
      </c>
      <c r="D290" s="50" t="s">
        <v>369</v>
      </c>
      <c r="E290" s="50" t="s">
        <v>61</v>
      </c>
      <c r="F290" s="50" t="s">
        <v>286</v>
      </c>
      <c r="G290" s="50" t="s">
        <v>73</v>
      </c>
      <c r="H290" s="50" t="s">
        <v>298</v>
      </c>
      <c r="I290" s="50" t="s">
        <v>81</v>
      </c>
      <c r="J290" s="50" t="s">
        <v>286</v>
      </c>
      <c r="K290" s="50" t="s">
        <v>287</v>
      </c>
      <c r="L290" s="50" t="s">
        <v>379</v>
      </c>
      <c r="M290" s="50" t="s">
        <v>370</v>
      </c>
      <c r="N290" s="111">
        <v>5</v>
      </c>
      <c r="O290" s="111">
        <v>5</v>
      </c>
      <c r="P290" s="111">
        <v>5</v>
      </c>
      <c r="Q290" s="111">
        <v>5</v>
      </c>
      <c r="R290" s="111">
        <v>6</v>
      </c>
      <c r="S290" s="111">
        <v>6</v>
      </c>
      <c r="T290" s="111">
        <v>5</v>
      </c>
      <c r="U290" s="111">
        <v>5</v>
      </c>
      <c r="V290" s="111">
        <v>6</v>
      </c>
      <c r="W290" s="111">
        <v>6</v>
      </c>
      <c r="X290" s="111">
        <v>6</v>
      </c>
      <c r="Y290" s="111">
        <v>6</v>
      </c>
      <c r="Z290" s="111">
        <v>6</v>
      </c>
      <c r="AA290" s="111">
        <v>6</v>
      </c>
      <c r="AB290" s="111">
        <v>6</v>
      </c>
      <c r="AC290" s="111">
        <v>5</v>
      </c>
      <c r="AD290" s="111">
        <v>5</v>
      </c>
      <c r="AE290" s="111">
        <v>5</v>
      </c>
      <c r="AF290" s="111">
        <v>5</v>
      </c>
      <c r="AG290" s="111">
        <v>5</v>
      </c>
      <c r="AH290" s="111">
        <v>5</v>
      </c>
      <c r="AI290" s="111">
        <v>5</v>
      </c>
      <c r="AJ290" s="111">
        <v>5</v>
      </c>
      <c r="AK290" s="111">
        <v>5</v>
      </c>
      <c r="AL290" s="111">
        <v>5</v>
      </c>
      <c r="AM290" s="111">
        <v>5</v>
      </c>
      <c r="AN290" s="111">
        <v>5</v>
      </c>
      <c r="AO290" s="111">
        <v>5</v>
      </c>
      <c r="AP290" s="111">
        <v>5</v>
      </c>
      <c r="AQ290" s="111">
        <v>6</v>
      </c>
      <c r="AR290" s="111">
        <v>5</v>
      </c>
      <c r="AS290" s="111">
        <v>5</v>
      </c>
      <c r="AT290" s="111">
        <v>5</v>
      </c>
      <c r="AU290" s="111">
        <v>5</v>
      </c>
      <c r="AV290" s="50" t="s">
        <v>202</v>
      </c>
      <c r="AW290" s="50" t="s">
        <v>202</v>
      </c>
      <c r="AX290" s="50" t="s">
        <v>201</v>
      </c>
      <c r="AY290" s="50" t="s">
        <v>199</v>
      </c>
      <c r="AZ290" s="50" t="s">
        <v>202</v>
      </c>
      <c r="BA290" s="50" t="s">
        <v>199</v>
      </c>
      <c r="BB290" s="50" t="s">
        <v>202</v>
      </c>
      <c r="BC290" s="50" t="s">
        <v>202</v>
      </c>
      <c r="BD290" s="50" t="s">
        <v>202</v>
      </c>
      <c r="BE290" s="50" t="s">
        <v>202</v>
      </c>
      <c r="BF290" s="50" t="s">
        <v>201</v>
      </c>
      <c r="BG290" s="50" t="s">
        <v>202</v>
      </c>
      <c r="BH290" s="50" t="s">
        <v>200</v>
      </c>
      <c r="BI290" s="50" t="s">
        <v>202</v>
      </c>
      <c r="BJ290" s="50" t="s">
        <v>202</v>
      </c>
      <c r="BK290" s="50" t="s">
        <v>202</v>
      </c>
      <c r="BL290" s="50" t="s">
        <v>202</v>
      </c>
      <c r="BM290" s="50" t="s">
        <v>436</v>
      </c>
      <c r="BN290" s="50" t="s">
        <v>479</v>
      </c>
      <c r="BO290" s="50" t="s">
        <v>91</v>
      </c>
      <c r="BP290" s="50" t="s">
        <v>286</v>
      </c>
      <c r="BQ290" s="50" t="s">
        <v>287</v>
      </c>
      <c r="BR290" s="50" t="s">
        <v>372</v>
      </c>
      <c r="BS290" s="111">
        <v>5</v>
      </c>
      <c r="BT290" s="50" t="s">
        <v>286</v>
      </c>
      <c r="BU290" s="50" t="s">
        <v>348</v>
      </c>
      <c r="BV290" s="50" t="s">
        <v>288</v>
      </c>
      <c r="BW290" s="50" t="s">
        <v>350</v>
      </c>
      <c r="BX290" s="50" t="s">
        <v>387</v>
      </c>
      <c r="BY290" s="50" t="s">
        <v>288</v>
      </c>
      <c r="BZ290" s="50" t="s">
        <v>287</v>
      </c>
      <c r="CA290" s="50"/>
      <c r="CB290" s="50" t="s">
        <v>287</v>
      </c>
      <c r="CC290" s="50" t="s">
        <v>287</v>
      </c>
      <c r="CD290" s="50" t="s">
        <v>287</v>
      </c>
      <c r="CE290" s="50"/>
      <c r="CF290" s="50" t="s">
        <v>287</v>
      </c>
      <c r="CG290" s="50" t="s">
        <v>287</v>
      </c>
      <c r="CH290" s="50" t="s">
        <v>486</v>
      </c>
      <c r="CI290" s="50" t="s">
        <v>287</v>
      </c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</row>
    <row r="291" spans="1:97" ht="36.75" customHeight="1" thickBot="1">
      <c r="A291" s="49">
        <v>46098.479837962965</v>
      </c>
      <c r="B291" s="50" t="s">
        <v>38</v>
      </c>
      <c r="C291" s="50" t="s">
        <v>46</v>
      </c>
      <c r="D291" s="50" t="s">
        <v>369</v>
      </c>
      <c r="E291" s="50" t="s">
        <v>285</v>
      </c>
      <c r="F291" s="50" t="s">
        <v>286</v>
      </c>
      <c r="G291" s="50" t="s">
        <v>74</v>
      </c>
      <c r="H291" s="50" t="s">
        <v>302</v>
      </c>
      <c r="I291" s="50" t="s">
        <v>91</v>
      </c>
      <c r="J291" s="50" t="s">
        <v>286</v>
      </c>
      <c r="K291" s="50" t="s">
        <v>291</v>
      </c>
      <c r="L291" s="50" t="s">
        <v>286</v>
      </c>
      <c r="M291" s="50" t="s">
        <v>370</v>
      </c>
      <c r="N291" s="111">
        <v>5</v>
      </c>
      <c r="O291" s="111">
        <v>5</v>
      </c>
      <c r="P291" s="111">
        <v>5</v>
      </c>
      <c r="Q291" s="111">
        <v>5</v>
      </c>
      <c r="R291" s="111">
        <v>5</v>
      </c>
      <c r="S291" s="111">
        <v>6</v>
      </c>
      <c r="T291" s="111">
        <v>5</v>
      </c>
      <c r="U291" s="111">
        <v>5</v>
      </c>
      <c r="V291" s="111">
        <v>6</v>
      </c>
      <c r="W291" s="111">
        <v>6</v>
      </c>
      <c r="X291" s="111">
        <v>6</v>
      </c>
      <c r="Y291" s="111">
        <v>6</v>
      </c>
      <c r="Z291" s="111">
        <v>6</v>
      </c>
      <c r="AA291" s="111">
        <v>6</v>
      </c>
      <c r="AB291" s="111">
        <v>6</v>
      </c>
      <c r="AC291" s="111">
        <v>5</v>
      </c>
      <c r="AD291" s="111">
        <v>5</v>
      </c>
      <c r="AE291" s="111">
        <v>5</v>
      </c>
      <c r="AF291" s="111">
        <v>5</v>
      </c>
      <c r="AG291" s="111">
        <v>5</v>
      </c>
      <c r="AH291" s="111">
        <v>5</v>
      </c>
      <c r="AI291" s="111">
        <v>5</v>
      </c>
      <c r="AJ291" s="111">
        <v>5</v>
      </c>
      <c r="AK291" s="111">
        <v>5</v>
      </c>
      <c r="AL291" s="111">
        <v>5</v>
      </c>
      <c r="AM291" s="111">
        <v>5</v>
      </c>
      <c r="AN291" s="111">
        <v>5</v>
      </c>
      <c r="AO291" s="111">
        <v>5</v>
      </c>
      <c r="AP291" s="111">
        <v>5</v>
      </c>
      <c r="AQ291" s="111">
        <v>6</v>
      </c>
      <c r="AR291" s="111">
        <v>5</v>
      </c>
      <c r="AS291" s="111">
        <v>5</v>
      </c>
      <c r="AT291" s="111">
        <v>5</v>
      </c>
      <c r="AU291" s="111">
        <v>5</v>
      </c>
      <c r="AV291" s="50" t="s">
        <v>199</v>
      </c>
      <c r="AW291" s="50" t="s">
        <v>202</v>
      </c>
      <c r="AX291" s="50" t="s">
        <v>201</v>
      </c>
      <c r="AY291" s="50" t="s">
        <v>199</v>
      </c>
      <c r="AZ291" s="50" t="s">
        <v>202</v>
      </c>
      <c r="BA291" s="50" t="s">
        <v>199</v>
      </c>
      <c r="BB291" s="50" t="s">
        <v>202</v>
      </c>
      <c r="BC291" s="50" t="s">
        <v>202</v>
      </c>
      <c r="BD291" s="50" t="s">
        <v>202</v>
      </c>
      <c r="BE291" s="50" t="s">
        <v>202</v>
      </c>
      <c r="BF291" s="50" t="s">
        <v>201</v>
      </c>
      <c r="BG291" s="50" t="s">
        <v>202</v>
      </c>
      <c r="BH291" s="50" t="s">
        <v>200</v>
      </c>
      <c r="BI291" s="50" t="s">
        <v>201</v>
      </c>
      <c r="BJ291" s="50" t="s">
        <v>201</v>
      </c>
      <c r="BK291" s="50" t="s">
        <v>201</v>
      </c>
      <c r="BL291" s="50" t="s">
        <v>201</v>
      </c>
      <c r="BM291" s="50" t="s">
        <v>436</v>
      </c>
      <c r="BN291" s="50" t="s">
        <v>318</v>
      </c>
      <c r="BO291" s="50" t="s">
        <v>91</v>
      </c>
      <c r="BP291" s="50" t="s">
        <v>286</v>
      </c>
      <c r="BQ291" s="50" t="s">
        <v>287</v>
      </c>
      <c r="BR291" s="50" t="s">
        <v>448</v>
      </c>
      <c r="BS291" s="111">
        <v>5</v>
      </c>
      <c r="BT291" s="50" t="s">
        <v>286</v>
      </c>
      <c r="BU291" s="50" t="s">
        <v>348</v>
      </c>
      <c r="BV291" s="50"/>
      <c r="BW291" s="50" t="s">
        <v>350</v>
      </c>
      <c r="BX291" s="50" t="s">
        <v>387</v>
      </c>
      <c r="BY291" s="50" t="s">
        <v>288</v>
      </c>
      <c r="BZ291" s="50" t="s">
        <v>287</v>
      </c>
      <c r="CA291" s="50"/>
      <c r="CB291" s="50" t="s">
        <v>287</v>
      </c>
      <c r="CC291" s="50" t="s">
        <v>287</v>
      </c>
      <c r="CD291" s="50" t="s">
        <v>287</v>
      </c>
      <c r="CE291" s="50"/>
      <c r="CF291" s="50" t="s">
        <v>287</v>
      </c>
      <c r="CG291" s="50" t="s">
        <v>287</v>
      </c>
      <c r="CH291" s="50" t="s">
        <v>486</v>
      </c>
      <c r="CI291" s="50" t="s">
        <v>287</v>
      </c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</row>
    <row r="292" spans="1:97" ht="36.75" customHeight="1" thickBot="1">
      <c r="A292" s="49">
        <v>46098.48265046296</v>
      </c>
      <c r="B292" s="50" t="s">
        <v>40</v>
      </c>
      <c r="C292" s="50" t="s">
        <v>45</v>
      </c>
      <c r="D292" s="50" t="s">
        <v>369</v>
      </c>
      <c r="E292" s="50" t="s">
        <v>285</v>
      </c>
      <c r="F292" s="50" t="s">
        <v>286</v>
      </c>
      <c r="G292" s="50" t="s">
        <v>73</v>
      </c>
      <c r="H292" s="50" t="s">
        <v>309</v>
      </c>
      <c r="I292" s="50" t="s">
        <v>81</v>
      </c>
      <c r="J292" s="50" t="s">
        <v>286</v>
      </c>
      <c r="K292" s="50" t="s">
        <v>287</v>
      </c>
      <c r="L292" s="50" t="s">
        <v>379</v>
      </c>
      <c r="M292" s="50" t="s">
        <v>370</v>
      </c>
      <c r="N292" s="111">
        <v>5</v>
      </c>
      <c r="O292" s="111">
        <v>5</v>
      </c>
      <c r="P292" s="111">
        <v>5</v>
      </c>
      <c r="Q292" s="111">
        <v>5</v>
      </c>
      <c r="R292" s="111">
        <v>6</v>
      </c>
      <c r="S292" s="111">
        <v>6</v>
      </c>
      <c r="T292" s="111">
        <v>4</v>
      </c>
      <c r="U292" s="111">
        <v>5</v>
      </c>
      <c r="V292" s="111">
        <v>5</v>
      </c>
      <c r="W292" s="111">
        <v>6</v>
      </c>
      <c r="X292" s="111">
        <v>6</v>
      </c>
      <c r="Y292" s="111">
        <v>6</v>
      </c>
      <c r="Z292" s="111">
        <v>6</v>
      </c>
      <c r="AA292" s="111">
        <v>6</v>
      </c>
      <c r="AB292" s="111">
        <v>6</v>
      </c>
      <c r="AC292" s="111">
        <v>5</v>
      </c>
      <c r="AD292" s="111">
        <v>5</v>
      </c>
      <c r="AE292" s="111">
        <v>5</v>
      </c>
      <c r="AF292" s="111">
        <v>5</v>
      </c>
      <c r="AG292" s="111">
        <v>5</v>
      </c>
      <c r="AH292" s="111">
        <v>5</v>
      </c>
      <c r="AI292" s="111">
        <v>5</v>
      </c>
      <c r="AJ292" s="111">
        <v>5</v>
      </c>
      <c r="AK292" s="111">
        <v>5</v>
      </c>
      <c r="AL292" s="111">
        <v>5</v>
      </c>
      <c r="AM292" s="111">
        <v>5</v>
      </c>
      <c r="AN292" s="111">
        <v>5</v>
      </c>
      <c r="AO292" s="111">
        <v>5</v>
      </c>
      <c r="AP292" s="111">
        <v>5</v>
      </c>
      <c r="AQ292" s="111">
        <v>6</v>
      </c>
      <c r="AR292" s="111">
        <v>5</v>
      </c>
      <c r="AS292" s="111">
        <v>5</v>
      </c>
      <c r="AT292" s="111">
        <v>5</v>
      </c>
      <c r="AU292" s="111">
        <v>5</v>
      </c>
      <c r="AV292" s="50" t="s">
        <v>202</v>
      </c>
      <c r="AW292" s="50" t="s">
        <v>202</v>
      </c>
      <c r="AX292" s="50" t="s">
        <v>199</v>
      </c>
      <c r="AY292" s="50" t="s">
        <v>199</v>
      </c>
      <c r="AZ292" s="50" t="s">
        <v>202</v>
      </c>
      <c r="BA292" s="50" t="s">
        <v>199</v>
      </c>
      <c r="BB292" s="50" t="s">
        <v>202</v>
      </c>
      <c r="BC292" s="50" t="s">
        <v>202</v>
      </c>
      <c r="BD292" s="50" t="s">
        <v>202</v>
      </c>
      <c r="BE292" s="50" t="s">
        <v>202</v>
      </c>
      <c r="BF292" s="50" t="s">
        <v>201</v>
      </c>
      <c r="BG292" s="50" t="s">
        <v>202</v>
      </c>
      <c r="BH292" s="50" t="s">
        <v>200</v>
      </c>
      <c r="BI292" s="50" t="s">
        <v>202</v>
      </c>
      <c r="BJ292" s="50" t="s">
        <v>202</v>
      </c>
      <c r="BK292" s="50" t="s">
        <v>202</v>
      </c>
      <c r="BL292" s="50" t="s">
        <v>202</v>
      </c>
      <c r="BM292" s="50" t="s">
        <v>436</v>
      </c>
      <c r="BN292" s="50" t="s">
        <v>318</v>
      </c>
      <c r="BO292" s="50" t="s">
        <v>91</v>
      </c>
      <c r="BP292" s="50" t="s">
        <v>286</v>
      </c>
      <c r="BQ292" s="50" t="s">
        <v>287</v>
      </c>
      <c r="BR292" s="50" t="s">
        <v>372</v>
      </c>
      <c r="BS292" s="111">
        <v>5</v>
      </c>
      <c r="BT292" s="50" t="s">
        <v>286</v>
      </c>
      <c r="BU292" s="50" t="s">
        <v>348</v>
      </c>
      <c r="BV292" s="50" t="s">
        <v>91</v>
      </c>
      <c r="BW292" s="50" t="s">
        <v>350</v>
      </c>
      <c r="BX292" s="50" t="s">
        <v>387</v>
      </c>
      <c r="BY292" s="50" t="s">
        <v>288</v>
      </c>
      <c r="BZ292" s="50" t="s">
        <v>287</v>
      </c>
      <c r="CA292" s="50"/>
      <c r="CB292" s="50" t="s">
        <v>287</v>
      </c>
      <c r="CC292" s="50" t="s">
        <v>287</v>
      </c>
      <c r="CD292" s="50" t="s">
        <v>287</v>
      </c>
      <c r="CE292" s="50"/>
      <c r="CF292" s="50" t="s">
        <v>287</v>
      </c>
      <c r="CG292" s="50" t="s">
        <v>287</v>
      </c>
      <c r="CH292" s="50" t="s">
        <v>486</v>
      </c>
      <c r="CI292" s="50" t="s">
        <v>287</v>
      </c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</row>
    <row r="293" spans="1:97" ht="36.75" customHeight="1" thickBot="1">
      <c r="A293" s="49">
        <v>46098.554918981485</v>
      </c>
      <c r="B293" s="50" t="s">
        <v>40</v>
      </c>
      <c r="C293" s="50" t="s">
        <v>45</v>
      </c>
      <c r="D293" s="50" t="s">
        <v>369</v>
      </c>
      <c r="E293" s="50" t="s">
        <v>59</v>
      </c>
      <c r="F293" s="50" t="s">
        <v>286</v>
      </c>
      <c r="G293" s="50" t="s">
        <v>292</v>
      </c>
      <c r="H293" s="50" t="s">
        <v>324</v>
      </c>
      <c r="I293" s="50" t="s">
        <v>91</v>
      </c>
      <c r="J293" s="50" t="s">
        <v>286</v>
      </c>
      <c r="K293" s="50" t="s">
        <v>291</v>
      </c>
      <c r="L293" s="50" t="s">
        <v>286</v>
      </c>
      <c r="M293" s="50" t="s">
        <v>370</v>
      </c>
      <c r="N293" s="111">
        <v>5</v>
      </c>
      <c r="O293" s="111">
        <v>5</v>
      </c>
      <c r="P293" s="111">
        <v>5</v>
      </c>
      <c r="Q293" s="111">
        <v>5</v>
      </c>
      <c r="R293" s="111">
        <v>6</v>
      </c>
      <c r="S293" s="111">
        <v>5</v>
      </c>
      <c r="T293" s="111">
        <v>5</v>
      </c>
      <c r="U293" s="111">
        <v>5</v>
      </c>
      <c r="V293" s="111">
        <v>6</v>
      </c>
      <c r="W293" s="111">
        <v>6</v>
      </c>
      <c r="X293" s="111">
        <v>6</v>
      </c>
      <c r="Y293" s="111">
        <v>6</v>
      </c>
      <c r="Z293" s="111">
        <v>6</v>
      </c>
      <c r="AA293" s="111">
        <v>6</v>
      </c>
      <c r="AB293" s="111">
        <v>6</v>
      </c>
      <c r="AC293" s="111">
        <v>5</v>
      </c>
      <c r="AD293" s="111">
        <v>5</v>
      </c>
      <c r="AE293" s="111">
        <v>5</v>
      </c>
      <c r="AF293" s="111">
        <v>5</v>
      </c>
      <c r="AG293" s="111">
        <v>5</v>
      </c>
      <c r="AH293" s="111">
        <v>5</v>
      </c>
      <c r="AI293" s="111">
        <v>5</v>
      </c>
      <c r="AJ293" s="111">
        <v>5</v>
      </c>
      <c r="AK293" s="111">
        <v>5</v>
      </c>
      <c r="AL293" s="111">
        <v>5</v>
      </c>
      <c r="AM293" s="111">
        <v>5</v>
      </c>
      <c r="AN293" s="111">
        <v>5</v>
      </c>
      <c r="AO293" s="111">
        <v>5</v>
      </c>
      <c r="AP293" s="111">
        <v>5</v>
      </c>
      <c r="AQ293" s="111">
        <v>6</v>
      </c>
      <c r="AR293" s="111">
        <v>5</v>
      </c>
      <c r="AS293" s="111">
        <v>5</v>
      </c>
      <c r="AT293" s="111">
        <v>5</v>
      </c>
      <c r="AU293" s="111">
        <v>5</v>
      </c>
      <c r="AV293" s="50" t="s">
        <v>202</v>
      </c>
      <c r="AW293" s="50" t="s">
        <v>202</v>
      </c>
      <c r="AX293" s="50" t="s">
        <v>201</v>
      </c>
      <c r="AY293" s="50" t="s">
        <v>199</v>
      </c>
      <c r="AZ293" s="50" t="s">
        <v>202</v>
      </c>
      <c r="BA293" s="50" t="s">
        <v>199</v>
      </c>
      <c r="BB293" s="50" t="s">
        <v>202</v>
      </c>
      <c r="BC293" s="50" t="s">
        <v>202</v>
      </c>
      <c r="BD293" s="50" t="s">
        <v>202</v>
      </c>
      <c r="BE293" s="50" t="s">
        <v>202</v>
      </c>
      <c r="BF293" s="50" t="s">
        <v>201</v>
      </c>
      <c r="BG293" s="50" t="s">
        <v>202</v>
      </c>
      <c r="BH293" s="50" t="s">
        <v>200</v>
      </c>
      <c r="BI293" s="50" t="s">
        <v>202</v>
      </c>
      <c r="BJ293" s="50" t="s">
        <v>202</v>
      </c>
      <c r="BK293" s="50" t="s">
        <v>202</v>
      </c>
      <c r="BL293" s="50" t="s">
        <v>202</v>
      </c>
      <c r="BM293" s="50" t="s">
        <v>436</v>
      </c>
      <c r="BN293" s="50" t="s">
        <v>389</v>
      </c>
      <c r="BO293" s="50" t="s">
        <v>91</v>
      </c>
      <c r="BP293" s="50" t="s">
        <v>286</v>
      </c>
      <c r="BQ293" s="50" t="s">
        <v>287</v>
      </c>
      <c r="BR293" s="50" t="s">
        <v>372</v>
      </c>
      <c r="BS293" s="111">
        <v>5</v>
      </c>
      <c r="BT293" s="50" t="s">
        <v>286</v>
      </c>
      <c r="BU293" s="50" t="s">
        <v>348</v>
      </c>
      <c r="BV293" s="50" t="s">
        <v>288</v>
      </c>
      <c r="BW293" s="50" t="s">
        <v>350</v>
      </c>
      <c r="BX293" s="50" t="s">
        <v>387</v>
      </c>
      <c r="BY293" s="50" t="s">
        <v>288</v>
      </c>
      <c r="BZ293" s="50" t="s">
        <v>287</v>
      </c>
      <c r="CA293" s="50"/>
      <c r="CB293" s="50" t="s">
        <v>287</v>
      </c>
      <c r="CC293" s="50" t="s">
        <v>287</v>
      </c>
      <c r="CD293" s="50" t="s">
        <v>287</v>
      </c>
      <c r="CE293" s="50"/>
      <c r="CF293" s="50" t="s">
        <v>287</v>
      </c>
      <c r="CG293" s="50" t="s">
        <v>287</v>
      </c>
      <c r="CH293" s="50" t="s">
        <v>486</v>
      </c>
      <c r="CI293" s="50" t="s">
        <v>287</v>
      </c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</row>
    <row r="294" spans="1:97" ht="36.75" customHeight="1" thickBot="1">
      <c r="A294" s="49">
        <v>46098.590694444443</v>
      </c>
      <c r="B294" s="50" t="s">
        <v>40</v>
      </c>
      <c r="C294" s="50" t="s">
        <v>45</v>
      </c>
      <c r="D294" s="50" t="s">
        <v>374</v>
      </c>
      <c r="E294" s="50" t="s">
        <v>61</v>
      </c>
      <c r="F294" s="50" t="s">
        <v>286</v>
      </c>
      <c r="G294" s="50" t="s">
        <v>73</v>
      </c>
      <c r="H294" s="50" t="s">
        <v>401</v>
      </c>
      <c r="I294" s="50" t="s">
        <v>81</v>
      </c>
      <c r="J294" s="50" t="s">
        <v>286</v>
      </c>
      <c r="K294" s="50" t="s">
        <v>287</v>
      </c>
      <c r="L294" s="50" t="s">
        <v>379</v>
      </c>
      <c r="M294" s="50" t="s">
        <v>370</v>
      </c>
      <c r="N294" s="111">
        <v>5</v>
      </c>
      <c r="O294" s="111">
        <v>5</v>
      </c>
      <c r="P294" s="111">
        <v>5</v>
      </c>
      <c r="Q294" s="111">
        <v>5</v>
      </c>
      <c r="R294" s="111">
        <v>6</v>
      </c>
      <c r="S294" s="111">
        <v>6</v>
      </c>
      <c r="T294" s="111">
        <v>5</v>
      </c>
      <c r="U294" s="111">
        <v>5</v>
      </c>
      <c r="V294" s="111">
        <v>6</v>
      </c>
      <c r="W294" s="111">
        <v>6</v>
      </c>
      <c r="X294" s="111">
        <v>6</v>
      </c>
      <c r="Y294" s="111">
        <v>6</v>
      </c>
      <c r="Z294" s="111">
        <v>6</v>
      </c>
      <c r="AA294" s="111">
        <v>6</v>
      </c>
      <c r="AB294" s="111">
        <v>6</v>
      </c>
      <c r="AC294" s="111">
        <v>5</v>
      </c>
      <c r="AD294" s="111">
        <v>5</v>
      </c>
      <c r="AE294" s="111">
        <v>5</v>
      </c>
      <c r="AF294" s="111">
        <v>5</v>
      </c>
      <c r="AG294" s="111">
        <v>5</v>
      </c>
      <c r="AH294" s="111">
        <v>5</v>
      </c>
      <c r="AI294" s="111">
        <v>5</v>
      </c>
      <c r="AJ294" s="111">
        <v>5</v>
      </c>
      <c r="AK294" s="111">
        <v>5</v>
      </c>
      <c r="AL294" s="111">
        <v>5</v>
      </c>
      <c r="AM294" s="111">
        <v>5</v>
      </c>
      <c r="AN294" s="111">
        <v>5</v>
      </c>
      <c r="AO294" s="111">
        <v>5</v>
      </c>
      <c r="AP294" s="111">
        <v>5</v>
      </c>
      <c r="AQ294" s="111">
        <v>6</v>
      </c>
      <c r="AR294" s="111">
        <v>5</v>
      </c>
      <c r="AS294" s="111">
        <v>5</v>
      </c>
      <c r="AT294" s="111">
        <v>5</v>
      </c>
      <c r="AU294" s="111">
        <v>5</v>
      </c>
      <c r="AV294" s="50" t="s">
        <v>200</v>
      </c>
      <c r="AW294" s="50" t="s">
        <v>200</v>
      </c>
      <c r="AX294" s="50" t="s">
        <v>201</v>
      </c>
      <c r="AY294" s="50" t="s">
        <v>199</v>
      </c>
      <c r="AZ294" s="50" t="s">
        <v>202</v>
      </c>
      <c r="BA294" s="50" t="s">
        <v>199</v>
      </c>
      <c r="BB294" s="50" t="s">
        <v>202</v>
      </c>
      <c r="BC294" s="50" t="s">
        <v>202</v>
      </c>
      <c r="BD294" s="50" t="s">
        <v>202</v>
      </c>
      <c r="BE294" s="50" t="s">
        <v>202</v>
      </c>
      <c r="BF294" s="50" t="s">
        <v>201</v>
      </c>
      <c r="BG294" s="50" t="s">
        <v>202</v>
      </c>
      <c r="BH294" s="50" t="s">
        <v>201</v>
      </c>
      <c r="BI294" s="50" t="s">
        <v>202</v>
      </c>
      <c r="BJ294" s="50" t="s">
        <v>202</v>
      </c>
      <c r="BK294" s="50" t="s">
        <v>202</v>
      </c>
      <c r="BL294" s="50" t="s">
        <v>202</v>
      </c>
      <c r="BM294" s="50" t="s">
        <v>436</v>
      </c>
      <c r="BN294" s="50" t="s">
        <v>318</v>
      </c>
      <c r="BO294" s="50" t="s">
        <v>91</v>
      </c>
      <c r="BP294" s="50" t="s">
        <v>286</v>
      </c>
      <c r="BQ294" s="50" t="s">
        <v>287</v>
      </c>
      <c r="BR294" s="50" t="s">
        <v>372</v>
      </c>
      <c r="BS294" s="111">
        <v>5</v>
      </c>
      <c r="BT294" s="50" t="s">
        <v>286</v>
      </c>
      <c r="BU294" s="50" t="s">
        <v>348</v>
      </c>
      <c r="BV294" s="50" t="s">
        <v>288</v>
      </c>
      <c r="BW294" s="50" t="s">
        <v>350</v>
      </c>
      <c r="BX294" s="50" t="s">
        <v>387</v>
      </c>
      <c r="BY294" s="50" t="s">
        <v>288</v>
      </c>
      <c r="BZ294" s="50" t="s">
        <v>287</v>
      </c>
      <c r="CA294" s="50"/>
      <c r="CB294" s="50" t="s">
        <v>287</v>
      </c>
      <c r="CC294" s="50" t="s">
        <v>287</v>
      </c>
      <c r="CD294" s="50" t="s">
        <v>287</v>
      </c>
      <c r="CE294" s="50"/>
      <c r="CF294" s="50" t="s">
        <v>287</v>
      </c>
      <c r="CG294" s="50" t="s">
        <v>287</v>
      </c>
      <c r="CH294" s="50" t="s">
        <v>486</v>
      </c>
      <c r="CI294" s="50" t="s">
        <v>287</v>
      </c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</row>
    <row r="295" spans="1:97" ht="36.75" customHeight="1" thickBot="1">
      <c r="A295" s="49">
        <v>46098.593668981484</v>
      </c>
      <c r="B295" s="50" t="s">
        <v>40</v>
      </c>
      <c r="C295" s="50" t="s">
        <v>45</v>
      </c>
      <c r="D295" s="50" t="s">
        <v>374</v>
      </c>
      <c r="E295" s="50" t="s">
        <v>61</v>
      </c>
      <c r="F295" s="50" t="s">
        <v>286</v>
      </c>
      <c r="G295" s="50" t="s">
        <v>73</v>
      </c>
      <c r="H295" s="50" t="s">
        <v>401</v>
      </c>
      <c r="I295" s="50" t="s">
        <v>81</v>
      </c>
      <c r="J295" s="50" t="s">
        <v>286</v>
      </c>
      <c r="K295" s="50" t="s">
        <v>287</v>
      </c>
      <c r="L295" s="50" t="s">
        <v>379</v>
      </c>
      <c r="M295" s="50" t="s">
        <v>370</v>
      </c>
      <c r="N295" s="111">
        <v>5</v>
      </c>
      <c r="O295" s="111">
        <v>5</v>
      </c>
      <c r="P295" s="111">
        <v>5</v>
      </c>
      <c r="Q295" s="111">
        <v>5</v>
      </c>
      <c r="R295" s="111">
        <v>5</v>
      </c>
      <c r="S295" s="111">
        <v>6</v>
      </c>
      <c r="T295" s="111">
        <v>5</v>
      </c>
      <c r="U295" s="111">
        <v>5</v>
      </c>
      <c r="V295" s="111">
        <v>6</v>
      </c>
      <c r="W295" s="111">
        <v>6</v>
      </c>
      <c r="X295" s="111">
        <v>6</v>
      </c>
      <c r="Y295" s="111">
        <v>6</v>
      </c>
      <c r="Z295" s="111">
        <v>6</v>
      </c>
      <c r="AA295" s="111">
        <v>5</v>
      </c>
      <c r="AB295" s="111">
        <v>6</v>
      </c>
      <c r="AC295" s="111">
        <v>5</v>
      </c>
      <c r="AD295" s="111">
        <v>5</v>
      </c>
      <c r="AE295" s="111">
        <v>5</v>
      </c>
      <c r="AF295" s="111">
        <v>5</v>
      </c>
      <c r="AG295" s="111">
        <v>5</v>
      </c>
      <c r="AH295" s="111">
        <v>5</v>
      </c>
      <c r="AI295" s="111">
        <v>5</v>
      </c>
      <c r="AJ295" s="111">
        <v>5</v>
      </c>
      <c r="AK295" s="111">
        <v>5</v>
      </c>
      <c r="AL295" s="111">
        <v>5</v>
      </c>
      <c r="AM295" s="111">
        <v>5</v>
      </c>
      <c r="AN295" s="111">
        <v>5</v>
      </c>
      <c r="AO295" s="111">
        <v>5</v>
      </c>
      <c r="AP295" s="111">
        <v>5</v>
      </c>
      <c r="AQ295" s="111">
        <v>6</v>
      </c>
      <c r="AR295" s="111">
        <v>5</v>
      </c>
      <c r="AS295" s="111">
        <v>5</v>
      </c>
      <c r="AT295" s="111">
        <v>5</v>
      </c>
      <c r="AU295" s="111">
        <v>5</v>
      </c>
      <c r="AV295" s="50" t="s">
        <v>200</v>
      </c>
      <c r="AW295" s="50" t="s">
        <v>200</v>
      </c>
      <c r="AX295" s="50" t="s">
        <v>201</v>
      </c>
      <c r="AY295" s="50" t="s">
        <v>199</v>
      </c>
      <c r="AZ295" s="50" t="s">
        <v>202</v>
      </c>
      <c r="BA295" s="50" t="s">
        <v>199</v>
      </c>
      <c r="BB295" s="50" t="s">
        <v>202</v>
      </c>
      <c r="BC295" s="50" t="s">
        <v>202</v>
      </c>
      <c r="BD295" s="50" t="s">
        <v>202</v>
      </c>
      <c r="BE295" s="50" t="s">
        <v>199</v>
      </c>
      <c r="BF295" s="50" t="s">
        <v>201</v>
      </c>
      <c r="BG295" s="50" t="s">
        <v>202</v>
      </c>
      <c r="BH295" s="50" t="s">
        <v>200</v>
      </c>
      <c r="BI295" s="50" t="s">
        <v>202</v>
      </c>
      <c r="BJ295" s="50" t="s">
        <v>202</v>
      </c>
      <c r="BK295" s="50" t="s">
        <v>202</v>
      </c>
      <c r="BL295" s="50" t="s">
        <v>202</v>
      </c>
      <c r="BM295" s="50" t="s">
        <v>436</v>
      </c>
      <c r="BN295" s="50" t="s">
        <v>318</v>
      </c>
      <c r="BO295" s="50" t="s">
        <v>91</v>
      </c>
      <c r="BP295" s="50" t="s">
        <v>286</v>
      </c>
      <c r="BQ295" s="50" t="s">
        <v>287</v>
      </c>
      <c r="BR295" s="50" t="s">
        <v>372</v>
      </c>
      <c r="BS295" s="111">
        <v>5</v>
      </c>
      <c r="BT295" s="50" t="s">
        <v>286</v>
      </c>
      <c r="BU295" s="50" t="s">
        <v>348</v>
      </c>
      <c r="BV295" s="50" t="s">
        <v>288</v>
      </c>
      <c r="BW295" s="50" t="s">
        <v>350</v>
      </c>
      <c r="BX295" s="50" t="s">
        <v>387</v>
      </c>
      <c r="BY295" s="50" t="s">
        <v>288</v>
      </c>
      <c r="BZ295" s="50" t="s">
        <v>287</v>
      </c>
      <c r="CA295" s="50"/>
      <c r="CB295" s="50" t="s">
        <v>287</v>
      </c>
      <c r="CC295" s="50" t="s">
        <v>287</v>
      </c>
      <c r="CD295" s="50" t="s">
        <v>287</v>
      </c>
      <c r="CE295" s="50"/>
      <c r="CF295" s="50" t="s">
        <v>287</v>
      </c>
      <c r="CG295" s="50" t="s">
        <v>287</v>
      </c>
      <c r="CH295" s="50" t="s">
        <v>486</v>
      </c>
      <c r="CI295" s="50" t="s">
        <v>287</v>
      </c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</row>
    <row r="296" spans="1:97" ht="36.75" customHeight="1" thickBot="1">
      <c r="A296" s="49">
        <v>46098.609074074076</v>
      </c>
      <c r="B296" s="50" t="s">
        <v>40</v>
      </c>
      <c r="C296" s="50" t="s">
        <v>45</v>
      </c>
      <c r="D296" s="50" t="s">
        <v>369</v>
      </c>
      <c r="E296" s="50" t="s">
        <v>285</v>
      </c>
      <c r="F296" s="50" t="s">
        <v>286</v>
      </c>
      <c r="G296" s="50" t="s">
        <v>73</v>
      </c>
      <c r="H296" s="50" t="s">
        <v>313</v>
      </c>
      <c r="I296" s="50" t="s">
        <v>91</v>
      </c>
      <c r="J296" s="50" t="s">
        <v>286</v>
      </c>
      <c r="K296" s="50" t="s">
        <v>291</v>
      </c>
      <c r="L296" s="50" t="s">
        <v>286</v>
      </c>
      <c r="M296" s="50" t="s">
        <v>370</v>
      </c>
      <c r="N296" s="111">
        <v>5</v>
      </c>
      <c r="O296" s="111">
        <v>5</v>
      </c>
      <c r="P296" s="111">
        <v>5</v>
      </c>
      <c r="Q296" s="111">
        <v>5</v>
      </c>
      <c r="R296" s="111">
        <v>6</v>
      </c>
      <c r="S296" s="111">
        <v>6</v>
      </c>
      <c r="T296" s="111">
        <v>5</v>
      </c>
      <c r="U296" s="111">
        <v>5</v>
      </c>
      <c r="V296" s="111">
        <v>6</v>
      </c>
      <c r="W296" s="111">
        <v>6</v>
      </c>
      <c r="X296" s="111">
        <v>6</v>
      </c>
      <c r="Y296" s="111">
        <v>6</v>
      </c>
      <c r="Z296" s="111">
        <v>6</v>
      </c>
      <c r="AA296" s="111">
        <v>6</v>
      </c>
      <c r="AB296" s="111">
        <v>6</v>
      </c>
      <c r="AC296" s="111">
        <v>5</v>
      </c>
      <c r="AD296" s="111">
        <v>5</v>
      </c>
      <c r="AE296" s="111">
        <v>5</v>
      </c>
      <c r="AF296" s="111">
        <v>5</v>
      </c>
      <c r="AG296" s="111">
        <v>5</v>
      </c>
      <c r="AH296" s="111">
        <v>5</v>
      </c>
      <c r="AI296" s="111">
        <v>5</v>
      </c>
      <c r="AJ296" s="111">
        <v>5</v>
      </c>
      <c r="AK296" s="111">
        <v>5</v>
      </c>
      <c r="AL296" s="111">
        <v>5</v>
      </c>
      <c r="AM296" s="111">
        <v>5</v>
      </c>
      <c r="AN296" s="111">
        <v>5</v>
      </c>
      <c r="AO296" s="111">
        <v>5</v>
      </c>
      <c r="AP296" s="111">
        <v>5</v>
      </c>
      <c r="AQ296" s="111">
        <v>6</v>
      </c>
      <c r="AR296" s="111">
        <v>5</v>
      </c>
      <c r="AS296" s="111">
        <v>5</v>
      </c>
      <c r="AT296" s="111">
        <v>5</v>
      </c>
      <c r="AU296" s="111">
        <v>5</v>
      </c>
      <c r="AV296" s="50" t="s">
        <v>200</v>
      </c>
      <c r="AW296" s="50" t="s">
        <v>200</v>
      </c>
      <c r="AX296" s="50" t="s">
        <v>201</v>
      </c>
      <c r="AY296" s="50" t="s">
        <v>199</v>
      </c>
      <c r="AZ296" s="50" t="s">
        <v>202</v>
      </c>
      <c r="BA296" s="50" t="s">
        <v>202</v>
      </c>
      <c r="BB296" s="50" t="s">
        <v>202</v>
      </c>
      <c r="BC296" s="50" t="s">
        <v>202</v>
      </c>
      <c r="BD296" s="50" t="s">
        <v>202</v>
      </c>
      <c r="BE296" s="50" t="s">
        <v>201</v>
      </c>
      <c r="BF296" s="50" t="s">
        <v>201</v>
      </c>
      <c r="BG296" s="50" t="s">
        <v>202</v>
      </c>
      <c r="BH296" s="50" t="s">
        <v>201</v>
      </c>
      <c r="BI296" s="50" t="s">
        <v>202</v>
      </c>
      <c r="BJ296" s="50" t="s">
        <v>202</v>
      </c>
      <c r="BK296" s="50" t="s">
        <v>202</v>
      </c>
      <c r="BL296" s="50" t="s">
        <v>202</v>
      </c>
      <c r="BM296" s="50" t="s">
        <v>436</v>
      </c>
      <c r="BN296" s="50" t="s">
        <v>318</v>
      </c>
      <c r="BO296" s="50" t="s">
        <v>91</v>
      </c>
      <c r="BP296" s="50" t="s">
        <v>286</v>
      </c>
      <c r="BQ296" s="50" t="s">
        <v>287</v>
      </c>
      <c r="BR296" s="50" t="s">
        <v>396</v>
      </c>
      <c r="BS296" s="111">
        <v>5</v>
      </c>
      <c r="BT296" s="50" t="s">
        <v>286</v>
      </c>
      <c r="BU296" s="50" t="s">
        <v>348</v>
      </c>
      <c r="BV296" s="50" t="s">
        <v>288</v>
      </c>
      <c r="BW296" s="50" t="s">
        <v>350</v>
      </c>
      <c r="BX296" s="50" t="s">
        <v>387</v>
      </c>
      <c r="BY296" s="50" t="s">
        <v>288</v>
      </c>
      <c r="BZ296" s="50" t="s">
        <v>287</v>
      </c>
      <c r="CA296" s="50"/>
      <c r="CB296" s="50" t="s">
        <v>287</v>
      </c>
      <c r="CC296" s="50" t="s">
        <v>287</v>
      </c>
      <c r="CD296" s="50" t="s">
        <v>287</v>
      </c>
      <c r="CE296" s="50"/>
      <c r="CF296" s="50" t="s">
        <v>287</v>
      </c>
      <c r="CG296" s="50" t="s">
        <v>287</v>
      </c>
      <c r="CH296" s="50" t="s">
        <v>486</v>
      </c>
      <c r="CI296" s="50" t="s">
        <v>287</v>
      </c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</row>
    <row r="297" spans="1:97" ht="36.75" customHeight="1" thickBot="1">
      <c r="A297" s="49">
        <v>46098.622499999998</v>
      </c>
      <c r="B297" s="50" t="s">
        <v>39</v>
      </c>
      <c r="C297" s="50" t="s">
        <v>46</v>
      </c>
      <c r="D297" s="50" t="s">
        <v>374</v>
      </c>
      <c r="E297" s="50" t="s">
        <v>61</v>
      </c>
      <c r="F297" s="50" t="s">
        <v>286</v>
      </c>
      <c r="G297" s="50" t="s">
        <v>74</v>
      </c>
      <c r="H297" s="50" t="s">
        <v>575</v>
      </c>
      <c r="I297" s="50" t="s">
        <v>91</v>
      </c>
      <c r="J297" s="50" t="s">
        <v>286</v>
      </c>
      <c r="K297" s="50" t="s">
        <v>291</v>
      </c>
      <c r="L297" s="50" t="s">
        <v>286</v>
      </c>
      <c r="M297" s="50" t="s">
        <v>370</v>
      </c>
      <c r="N297" s="111">
        <v>5</v>
      </c>
      <c r="O297" s="111">
        <v>5</v>
      </c>
      <c r="P297" s="111">
        <v>5</v>
      </c>
      <c r="Q297" s="111">
        <v>5</v>
      </c>
      <c r="R297" s="111">
        <v>5</v>
      </c>
      <c r="S297" s="111">
        <v>6</v>
      </c>
      <c r="T297" s="111">
        <v>5</v>
      </c>
      <c r="U297" s="111">
        <v>5</v>
      </c>
      <c r="V297" s="111">
        <v>6</v>
      </c>
      <c r="W297" s="111">
        <v>6</v>
      </c>
      <c r="X297" s="111">
        <v>6</v>
      </c>
      <c r="Y297" s="111">
        <v>6</v>
      </c>
      <c r="Z297" s="111">
        <v>6</v>
      </c>
      <c r="AA297" s="111">
        <v>6</v>
      </c>
      <c r="AB297" s="111">
        <v>6</v>
      </c>
      <c r="AC297" s="111">
        <v>5</v>
      </c>
      <c r="AD297" s="111">
        <v>5</v>
      </c>
      <c r="AE297" s="111">
        <v>5</v>
      </c>
      <c r="AF297" s="111">
        <v>5</v>
      </c>
      <c r="AG297" s="111">
        <v>5</v>
      </c>
      <c r="AH297" s="111">
        <v>5</v>
      </c>
      <c r="AI297" s="111">
        <v>5</v>
      </c>
      <c r="AJ297" s="111">
        <v>5</v>
      </c>
      <c r="AK297" s="111">
        <v>5</v>
      </c>
      <c r="AL297" s="111">
        <v>5</v>
      </c>
      <c r="AM297" s="111">
        <v>5</v>
      </c>
      <c r="AN297" s="111">
        <v>5</v>
      </c>
      <c r="AO297" s="111">
        <v>5</v>
      </c>
      <c r="AP297" s="111">
        <v>5</v>
      </c>
      <c r="AQ297" s="111">
        <v>6</v>
      </c>
      <c r="AR297" s="111">
        <v>5</v>
      </c>
      <c r="AS297" s="111">
        <v>5</v>
      </c>
      <c r="AT297" s="111">
        <v>5</v>
      </c>
      <c r="AU297" s="111">
        <v>5</v>
      </c>
      <c r="AV297" s="50" t="s">
        <v>202</v>
      </c>
      <c r="AW297" s="50" t="s">
        <v>199</v>
      </c>
      <c r="AX297" s="50" t="s">
        <v>201</v>
      </c>
      <c r="AY297" s="50" t="s">
        <v>199</v>
      </c>
      <c r="AZ297" s="50" t="s">
        <v>202</v>
      </c>
      <c r="BA297" s="50" t="s">
        <v>202</v>
      </c>
      <c r="BB297" s="50" t="s">
        <v>202</v>
      </c>
      <c r="BC297" s="50" t="s">
        <v>202</v>
      </c>
      <c r="BD297" s="50" t="s">
        <v>202</v>
      </c>
      <c r="BE297" s="50" t="s">
        <v>200</v>
      </c>
      <c r="BF297" s="50" t="s">
        <v>201</v>
      </c>
      <c r="BG297" s="50" t="s">
        <v>202</v>
      </c>
      <c r="BH297" s="50" t="s">
        <v>201</v>
      </c>
      <c r="BI297" s="50" t="s">
        <v>202</v>
      </c>
      <c r="BJ297" s="50" t="s">
        <v>202</v>
      </c>
      <c r="BK297" s="50" t="s">
        <v>202</v>
      </c>
      <c r="BL297" s="50" t="s">
        <v>202</v>
      </c>
      <c r="BM297" s="50" t="s">
        <v>436</v>
      </c>
      <c r="BN297" s="50" t="s">
        <v>389</v>
      </c>
      <c r="BO297" s="50" t="s">
        <v>91</v>
      </c>
      <c r="BP297" s="50" t="s">
        <v>286</v>
      </c>
      <c r="BQ297" s="50" t="s">
        <v>287</v>
      </c>
      <c r="BR297" s="50" t="s">
        <v>372</v>
      </c>
      <c r="BS297" s="111">
        <v>5</v>
      </c>
      <c r="BT297" s="50" t="s">
        <v>286</v>
      </c>
      <c r="BU297" s="50" t="s">
        <v>348</v>
      </c>
      <c r="BV297" s="50" t="s">
        <v>288</v>
      </c>
      <c r="BW297" s="50" t="s">
        <v>350</v>
      </c>
      <c r="BX297" s="50" t="s">
        <v>387</v>
      </c>
      <c r="BY297" s="50" t="s">
        <v>288</v>
      </c>
      <c r="BZ297" s="50" t="s">
        <v>287</v>
      </c>
      <c r="CA297" s="50"/>
      <c r="CB297" s="50" t="s">
        <v>287</v>
      </c>
      <c r="CC297" s="50" t="s">
        <v>287</v>
      </c>
      <c r="CD297" s="50" t="s">
        <v>287</v>
      </c>
      <c r="CE297" s="50"/>
      <c r="CF297" s="50" t="s">
        <v>287</v>
      </c>
      <c r="CG297" s="50" t="s">
        <v>287</v>
      </c>
      <c r="CH297" s="50" t="s">
        <v>486</v>
      </c>
      <c r="CI297" s="50" t="s">
        <v>287</v>
      </c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</row>
    <row r="298" spans="1:97" ht="36.75" customHeight="1" thickBot="1">
      <c r="A298" s="49">
        <v>46099.335405092592</v>
      </c>
      <c r="B298" s="50" t="s">
        <v>40</v>
      </c>
      <c r="C298" s="50" t="s">
        <v>45</v>
      </c>
      <c r="D298" s="50" t="s">
        <v>374</v>
      </c>
      <c r="E298" s="50" t="s">
        <v>61</v>
      </c>
      <c r="F298" s="50" t="s">
        <v>286</v>
      </c>
      <c r="G298" s="50" t="s">
        <v>73</v>
      </c>
      <c r="H298" s="50" t="s">
        <v>349</v>
      </c>
      <c r="I298" s="50" t="s">
        <v>91</v>
      </c>
      <c r="J298" s="50" t="s">
        <v>286</v>
      </c>
      <c r="K298" s="50" t="s">
        <v>291</v>
      </c>
      <c r="L298" s="50" t="s">
        <v>286</v>
      </c>
      <c r="M298" s="50" t="s">
        <v>370</v>
      </c>
      <c r="N298" s="111">
        <v>5</v>
      </c>
      <c r="O298" s="111">
        <v>5</v>
      </c>
      <c r="P298" s="111">
        <v>5</v>
      </c>
      <c r="Q298" s="111">
        <v>5</v>
      </c>
      <c r="R298" s="111">
        <v>5</v>
      </c>
      <c r="S298" s="111">
        <v>6</v>
      </c>
      <c r="T298" s="111">
        <v>4</v>
      </c>
      <c r="U298" s="111">
        <v>5</v>
      </c>
      <c r="V298" s="111">
        <v>6</v>
      </c>
      <c r="W298" s="111">
        <v>6</v>
      </c>
      <c r="X298" s="111">
        <v>6</v>
      </c>
      <c r="Y298" s="111">
        <v>6</v>
      </c>
      <c r="Z298" s="111">
        <v>6</v>
      </c>
      <c r="AA298" s="111">
        <v>5</v>
      </c>
      <c r="AB298" s="111">
        <v>6</v>
      </c>
      <c r="AC298" s="111">
        <v>5</v>
      </c>
      <c r="AD298" s="111">
        <v>5</v>
      </c>
      <c r="AE298" s="111">
        <v>5</v>
      </c>
      <c r="AF298" s="111">
        <v>5</v>
      </c>
      <c r="AG298" s="111">
        <v>5</v>
      </c>
      <c r="AH298" s="111">
        <v>5</v>
      </c>
      <c r="AI298" s="111">
        <v>5</v>
      </c>
      <c r="AJ298" s="111">
        <v>5</v>
      </c>
      <c r="AK298" s="111">
        <v>5</v>
      </c>
      <c r="AL298" s="111">
        <v>5</v>
      </c>
      <c r="AM298" s="111">
        <v>5</v>
      </c>
      <c r="AN298" s="111">
        <v>5</v>
      </c>
      <c r="AO298" s="111">
        <v>5</v>
      </c>
      <c r="AP298" s="111">
        <v>5</v>
      </c>
      <c r="AQ298" s="111">
        <v>6</v>
      </c>
      <c r="AR298" s="111">
        <v>5</v>
      </c>
      <c r="AS298" s="111">
        <v>5</v>
      </c>
      <c r="AT298" s="111">
        <v>5</v>
      </c>
      <c r="AU298" s="111">
        <v>5</v>
      </c>
      <c r="AV298" s="50" t="s">
        <v>200</v>
      </c>
      <c r="AW298" s="50" t="s">
        <v>200</v>
      </c>
      <c r="AX298" s="50" t="s">
        <v>201</v>
      </c>
      <c r="AY298" s="50" t="s">
        <v>199</v>
      </c>
      <c r="AZ298" s="50" t="s">
        <v>202</v>
      </c>
      <c r="BA298" s="50" t="s">
        <v>199</v>
      </c>
      <c r="BB298" s="50" t="s">
        <v>202</v>
      </c>
      <c r="BC298" s="50" t="s">
        <v>202</v>
      </c>
      <c r="BD298" s="50" t="s">
        <v>202</v>
      </c>
      <c r="BE298" s="50" t="s">
        <v>200</v>
      </c>
      <c r="BF298" s="50" t="s">
        <v>201</v>
      </c>
      <c r="BG298" s="50" t="s">
        <v>202</v>
      </c>
      <c r="BH298" s="50" t="s">
        <v>201</v>
      </c>
      <c r="BI298" s="50" t="s">
        <v>202</v>
      </c>
      <c r="BJ298" s="50" t="s">
        <v>202</v>
      </c>
      <c r="BK298" s="50" t="s">
        <v>202</v>
      </c>
      <c r="BL298" s="50" t="s">
        <v>202</v>
      </c>
      <c r="BM298" s="50" t="s">
        <v>436</v>
      </c>
      <c r="BN298" s="50" t="s">
        <v>318</v>
      </c>
      <c r="BO298" s="50" t="s">
        <v>91</v>
      </c>
      <c r="BP298" s="50" t="s">
        <v>286</v>
      </c>
      <c r="BQ298" s="50" t="s">
        <v>287</v>
      </c>
      <c r="BR298" s="50" t="s">
        <v>372</v>
      </c>
      <c r="BS298" s="111">
        <v>5</v>
      </c>
      <c r="BT298" s="50" t="s">
        <v>286</v>
      </c>
      <c r="BU298" s="50" t="s">
        <v>348</v>
      </c>
      <c r="BV298" s="50" t="s">
        <v>288</v>
      </c>
      <c r="BW298" s="50" t="s">
        <v>350</v>
      </c>
      <c r="BX298" s="50" t="s">
        <v>387</v>
      </c>
      <c r="BY298" s="50" t="s">
        <v>288</v>
      </c>
      <c r="BZ298" s="50" t="s">
        <v>287</v>
      </c>
      <c r="CA298" s="50"/>
      <c r="CB298" s="50" t="s">
        <v>287</v>
      </c>
      <c r="CC298" s="50" t="s">
        <v>287</v>
      </c>
      <c r="CD298" s="50" t="s">
        <v>287</v>
      </c>
      <c r="CE298" s="50"/>
      <c r="CF298" s="50" t="s">
        <v>287</v>
      </c>
      <c r="CG298" s="50" t="s">
        <v>287</v>
      </c>
      <c r="CH298" s="50" t="s">
        <v>486</v>
      </c>
      <c r="CI298" s="50" t="s">
        <v>287</v>
      </c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</row>
    <row r="299" spans="1:97" ht="36.75" customHeight="1" thickBot="1">
      <c r="A299" s="49">
        <v>46101.315162037034</v>
      </c>
      <c r="B299" s="50" t="s">
        <v>40</v>
      </c>
      <c r="C299" s="50" t="s">
        <v>46</v>
      </c>
      <c r="D299" s="50" t="s">
        <v>374</v>
      </c>
      <c r="E299" s="50" t="s">
        <v>61</v>
      </c>
      <c r="F299" s="50" t="s">
        <v>286</v>
      </c>
      <c r="G299" s="50" t="s">
        <v>74</v>
      </c>
      <c r="H299" s="50" t="s">
        <v>576</v>
      </c>
      <c r="I299" s="50" t="s">
        <v>91</v>
      </c>
      <c r="J299" s="50" t="s">
        <v>286</v>
      </c>
      <c r="K299" s="50" t="s">
        <v>291</v>
      </c>
      <c r="L299" s="50" t="s">
        <v>286</v>
      </c>
      <c r="M299" s="50" t="s">
        <v>370</v>
      </c>
      <c r="N299" s="111">
        <v>5</v>
      </c>
      <c r="O299" s="111">
        <v>5</v>
      </c>
      <c r="P299" s="111">
        <v>5</v>
      </c>
      <c r="Q299" s="111">
        <v>5</v>
      </c>
      <c r="R299" s="111">
        <v>5</v>
      </c>
      <c r="S299" s="111">
        <v>6</v>
      </c>
      <c r="T299" s="111">
        <v>4</v>
      </c>
      <c r="U299" s="111">
        <v>5</v>
      </c>
      <c r="V299" s="111">
        <v>6</v>
      </c>
      <c r="W299" s="111">
        <v>6</v>
      </c>
      <c r="X299" s="111">
        <v>6</v>
      </c>
      <c r="Y299" s="111">
        <v>6</v>
      </c>
      <c r="Z299" s="111">
        <v>6</v>
      </c>
      <c r="AA299" s="111">
        <v>6</v>
      </c>
      <c r="AB299" s="111">
        <v>6</v>
      </c>
      <c r="AC299" s="111">
        <v>5</v>
      </c>
      <c r="AD299" s="111">
        <v>5</v>
      </c>
      <c r="AE299" s="111">
        <v>5</v>
      </c>
      <c r="AF299" s="111">
        <v>5</v>
      </c>
      <c r="AG299" s="111">
        <v>5</v>
      </c>
      <c r="AH299" s="111">
        <v>5</v>
      </c>
      <c r="AI299" s="111">
        <v>5</v>
      </c>
      <c r="AJ299" s="111">
        <v>5</v>
      </c>
      <c r="AK299" s="111">
        <v>4</v>
      </c>
      <c r="AL299" s="111">
        <v>5</v>
      </c>
      <c r="AM299" s="111">
        <v>5</v>
      </c>
      <c r="AN299" s="111">
        <v>5</v>
      </c>
      <c r="AO299" s="111">
        <v>5</v>
      </c>
      <c r="AP299" s="111">
        <v>5</v>
      </c>
      <c r="AQ299" s="111">
        <v>6</v>
      </c>
      <c r="AR299" s="111">
        <v>5</v>
      </c>
      <c r="AS299" s="111">
        <v>5</v>
      </c>
      <c r="AT299" s="111">
        <v>5</v>
      </c>
      <c r="AU299" s="111">
        <v>5</v>
      </c>
      <c r="AV299" s="50" t="s">
        <v>200</v>
      </c>
      <c r="AW299" s="50" t="s">
        <v>202</v>
      </c>
      <c r="AX299" s="50" t="s">
        <v>201</v>
      </c>
      <c r="AY299" s="50" t="s">
        <v>199</v>
      </c>
      <c r="AZ299" s="50" t="s">
        <v>202</v>
      </c>
      <c r="BA299" s="50" t="s">
        <v>199</v>
      </c>
      <c r="BB299" s="50" t="s">
        <v>202</v>
      </c>
      <c r="BC299" s="50" t="s">
        <v>202</v>
      </c>
      <c r="BD299" s="50" t="s">
        <v>202</v>
      </c>
      <c r="BE299" s="50" t="s">
        <v>201</v>
      </c>
      <c r="BF299" s="50" t="s">
        <v>201</v>
      </c>
      <c r="BG299" s="50" t="s">
        <v>202</v>
      </c>
      <c r="BH299" s="50" t="s">
        <v>201</v>
      </c>
      <c r="BI299" s="50" t="s">
        <v>202</v>
      </c>
      <c r="BJ299" s="50" t="s">
        <v>202</v>
      </c>
      <c r="BK299" s="50" t="s">
        <v>202</v>
      </c>
      <c r="BL299" s="50" t="s">
        <v>202</v>
      </c>
      <c r="BM299" s="50" t="s">
        <v>436</v>
      </c>
      <c r="BN299" s="50" t="s">
        <v>318</v>
      </c>
      <c r="BO299" s="50" t="s">
        <v>91</v>
      </c>
      <c r="BP299" s="50" t="s">
        <v>286</v>
      </c>
      <c r="BQ299" s="50" t="s">
        <v>287</v>
      </c>
      <c r="BR299" s="50" t="s">
        <v>372</v>
      </c>
      <c r="BS299" s="111">
        <v>5</v>
      </c>
      <c r="BT299" s="50" t="s">
        <v>286</v>
      </c>
      <c r="BU299" s="50" t="s">
        <v>348</v>
      </c>
      <c r="BV299" s="50" t="s">
        <v>288</v>
      </c>
      <c r="BW299" s="50" t="s">
        <v>350</v>
      </c>
      <c r="BX299" s="50" t="s">
        <v>387</v>
      </c>
      <c r="BY299" s="50" t="s">
        <v>288</v>
      </c>
      <c r="BZ299" s="50" t="s">
        <v>287</v>
      </c>
      <c r="CA299" s="50"/>
      <c r="CB299" s="50" t="s">
        <v>287</v>
      </c>
      <c r="CC299" s="50" t="s">
        <v>287</v>
      </c>
      <c r="CD299" s="50" t="s">
        <v>287</v>
      </c>
      <c r="CE299" s="50"/>
      <c r="CF299" s="50" t="s">
        <v>287</v>
      </c>
      <c r="CG299" s="50" t="s">
        <v>287</v>
      </c>
      <c r="CH299" s="50" t="s">
        <v>486</v>
      </c>
      <c r="CI299" s="50" t="s">
        <v>287</v>
      </c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</row>
    <row r="300" spans="1:97" ht="36.75" customHeight="1" thickBot="1">
      <c r="A300" s="49">
        <v>46101.421273148146</v>
      </c>
      <c r="B300" s="50" t="s">
        <v>40</v>
      </c>
      <c r="C300" s="50" t="s">
        <v>45</v>
      </c>
      <c r="D300" s="50" t="s">
        <v>374</v>
      </c>
      <c r="E300" s="50" t="s">
        <v>61</v>
      </c>
      <c r="F300" s="50" t="s">
        <v>286</v>
      </c>
      <c r="G300" s="50" t="s">
        <v>292</v>
      </c>
      <c r="H300" s="50" t="s">
        <v>457</v>
      </c>
      <c r="I300" s="50" t="s">
        <v>91</v>
      </c>
      <c r="J300" s="50" t="s">
        <v>286</v>
      </c>
      <c r="K300" s="50" t="s">
        <v>291</v>
      </c>
      <c r="L300" s="50" t="s">
        <v>286</v>
      </c>
      <c r="M300" s="50" t="s">
        <v>370</v>
      </c>
      <c r="N300" s="111">
        <v>5</v>
      </c>
      <c r="O300" s="111">
        <v>5</v>
      </c>
      <c r="P300" s="111">
        <v>5</v>
      </c>
      <c r="Q300" s="111">
        <v>5</v>
      </c>
      <c r="R300" s="111">
        <v>5</v>
      </c>
      <c r="S300" s="111">
        <v>6</v>
      </c>
      <c r="T300" s="111">
        <v>5</v>
      </c>
      <c r="U300" s="111">
        <v>5</v>
      </c>
      <c r="V300" s="111">
        <v>6</v>
      </c>
      <c r="W300" s="111">
        <v>6</v>
      </c>
      <c r="X300" s="111">
        <v>6</v>
      </c>
      <c r="Y300" s="111">
        <v>6</v>
      </c>
      <c r="Z300" s="111">
        <v>6</v>
      </c>
      <c r="AA300" s="111">
        <v>6</v>
      </c>
      <c r="AB300" s="111">
        <v>6</v>
      </c>
      <c r="AC300" s="111">
        <v>5</v>
      </c>
      <c r="AD300" s="111">
        <v>5</v>
      </c>
      <c r="AE300" s="111">
        <v>5</v>
      </c>
      <c r="AF300" s="111">
        <v>5</v>
      </c>
      <c r="AG300" s="111">
        <v>5</v>
      </c>
      <c r="AH300" s="111">
        <v>5</v>
      </c>
      <c r="AI300" s="111">
        <v>5</v>
      </c>
      <c r="AJ300" s="111">
        <v>5</v>
      </c>
      <c r="AK300" s="111">
        <v>5</v>
      </c>
      <c r="AL300" s="111">
        <v>5</v>
      </c>
      <c r="AM300" s="111">
        <v>5</v>
      </c>
      <c r="AN300" s="111">
        <v>5</v>
      </c>
      <c r="AO300" s="111">
        <v>5</v>
      </c>
      <c r="AP300" s="111">
        <v>5</v>
      </c>
      <c r="AQ300" s="111">
        <v>6</v>
      </c>
      <c r="AR300" s="111">
        <v>5</v>
      </c>
      <c r="AS300" s="111">
        <v>5</v>
      </c>
      <c r="AT300" s="111">
        <v>5</v>
      </c>
      <c r="AU300" s="111">
        <v>5</v>
      </c>
      <c r="AV300" s="50" t="s">
        <v>202</v>
      </c>
      <c r="AW300" s="50" t="s">
        <v>202</v>
      </c>
      <c r="AX300" s="50" t="s">
        <v>201</v>
      </c>
      <c r="AY300" s="50" t="s">
        <v>199</v>
      </c>
      <c r="AZ300" s="50" t="s">
        <v>202</v>
      </c>
      <c r="BA300" s="50" t="s">
        <v>199</v>
      </c>
      <c r="BB300" s="50" t="s">
        <v>202</v>
      </c>
      <c r="BC300" s="50" t="s">
        <v>202</v>
      </c>
      <c r="BD300" s="50" t="s">
        <v>202</v>
      </c>
      <c r="BE300" s="50" t="s">
        <v>202</v>
      </c>
      <c r="BF300" s="50" t="s">
        <v>201</v>
      </c>
      <c r="BG300" s="50" t="s">
        <v>201</v>
      </c>
      <c r="BH300" s="50" t="s">
        <v>201</v>
      </c>
      <c r="BI300" s="50" t="s">
        <v>202</v>
      </c>
      <c r="BJ300" s="50" t="s">
        <v>202</v>
      </c>
      <c r="BK300" s="50" t="s">
        <v>202</v>
      </c>
      <c r="BL300" s="50" t="s">
        <v>202</v>
      </c>
      <c r="BM300" s="50" t="s">
        <v>436</v>
      </c>
      <c r="BN300" s="50" t="s">
        <v>480</v>
      </c>
      <c r="BO300" s="50" t="s">
        <v>91</v>
      </c>
      <c r="BP300" s="50" t="s">
        <v>286</v>
      </c>
      <c r="BQ300" s="50" t="s">
        <v>287</v>
      </c>
      <c r="BR300" s="50" t="s">
        <v>448</v>
      </c>
      <c r="BS300" s="111">
        <v>5</v>
      </c>
      <c r="BT300" s="50" t="s">
        <v>286</v>
      </c>
      <c r="BU300" s="50" t="s">
        <v>348</v>
      </c>
      <c r="BV300" s="50" t="s">
        <v>288</v>
      </c>
      <c r="BW300" s="50" t="s">
        <v>350</v>
      </c>
      <c r="BX300" s="50" t="s">
        <v>387</v>
      </c>
      <c r="BY300" s="50" t="s">
        <v>288</v>
      </c>
      <c r="BZ300" s="50" t="s">
        <v>287</v>
      </c>
      <c r="CA300" s="50"/>
      <c r="CB300" s="50" t="s">
        <v>287</v>
      </c>
      <c r="CC300" s="50" t="s">
        <v>287</v>
      </c>
      <c r="CD300" s="50" t="s">
        <v>287</v>
      </c>
      <c r="CE300" s="50"/>
      <c r="CF300" s="50" t="s">
        <v>287</v>
      </c>
      <c r="CG300" s="50" t="s">
        <v>287</v>
      </c>
      <c r="CH300" s="50" t="s">
        <v>486</v>
      </c>
      <c r="CI300" s="50" t="s">
        <v>287</v>
      </c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</row>
    <row r="301" spans="1:97" ht="36.75" customHeight="1" thickBot="1">
      <c r="A301" s="49">
        <v>46101.425451388888</v>
      </c>
      <c r="B301" s="50" t="s">
        <v>35</v>
      </c>
      <c r="C301" s="50" t="s">
        <v>45</v>
      </c>
      <c r="D301" s="50" t="s">
        <v>374</v>
      </c>
      <c r="E301" s="50" t="s">
        <v>65</v>
      </c>
      <c r="F301" s="50" t="s">
        <v>286</v>
      </c>
      <c r="G301" s="50" t="s">
        <v>73</v>
      </c>
      <c r="H301" s="50" t="s">
        <v>377</v>
      </c>
      <c r="I301" s="50" t="s">
        <v>91</v>
      </c>
      <c r="J301" s="50" t="s">
        <v>286</v>
      </c>
      <c r="K301" s="50" t="s">
        <v>291</v>
      </c>
      <c r="L301" s="50" t="s">
        <v>286</v>
      </c>
      <c r="M301" s="50" t="s">
        <v>370</v>
      </c>
      <c r="N301" s="111">
        <v>5</v>
      </c>
      <c r="O301" s="111">
        <v>5</v>
      </c>
      <c r="P301" s="111">
        <v>5</v>
      </c>
      <c r="Q301" s="111">
        <v>5</v>
      </c>
      <c r="R301" s="111">
        <v>5</v>
      </c>
      <c r="S301" s="111">
        <v>6</v>
      </c>
      <c r="T301" s="111">
        <v>5</v>
      </c>
      <c r="U301" s="111">
        <v>5</v>
      </c>
      <c r="V301" s="111">
        <v>6</v>
      </c>
      <c r="W301" s="111">
        <v>6</v>
      </c>
      <c r="X301" s="111">
        <v>6</v>
      </c>
      <c r="Y301" s="111">
        <v>6</v>
      </c>
      <c r="Z301" s="111">
        <v>6</v>
      </c>
      <c r="AA301" s="111">
        <v>6</v>
      </c>
      <c r="AB301" s="111">
        <v>6</v>
      </c>
      <c r="AC301" s="111">
        <v>5</v>
      </c>
      <c r="AD301" s="111">
        <v>5</v>
      </c>
      <c r="AE301" s="111">
        <v>5</v>
      </c>
      <c r="AF301" s="111">
        <v>5</v>
      </c>
      <c r="AG301" s="111">
        <v>5</v>
      </c>
      <c r="AH301" s="111">
        <v>5</v>
      </c>
      <c r="AI301" s="111">
        <v>5</v>
      </c>
      <c r="AJ301" s="111">
        <v>5</v>
      </c>
      <c r="AK301" s="111">
        <v>5</v>
      </c>
      <c r="AL301" s="111">
        <v>5</v>
      </c>
      <c r="AM301" s="111">
        <v>5</v>
      </c>
      <c r="AN301" s="111">
        <v>5</v>
      </c>
      <c r="AO301" s="111">
        <v>5</v>
      </c>
      <c r="AP301" s="111">
        <v>5</v>
      </c>
      <c r="AQ301" s="111">
        <v>6</v>
      </c>
      <c r="AR301" s="111">
        <v>5</v>
      </c>
      <c r="AS301" s="111">
        <v>5</v>
      </c>
      <c r="AT301" s="111">
        <v>5</v>
      </c>
      <c r="AU301" s="111">
        <v>5</v>
      </c>
      <c r="AV301" s="50" t="s">
        <v>199</v>
      </c>
      <c r="AW301" s="50" t="s">
        <v>202</v>
      </c>
      <c r="AX301" s="50" t="s">
        <v>201</v>
      </c>
      <c r="AY301" s="50" t="s">
        <v>199</v>
      </c>
      <c r="AZ301" s="50" t="s">
        <v>202</v>
      </c>
      <c r="BA301" s="50" t="s">
        <v>202</v>
      </c>
      <c r="BB301" s="50" t="s">
        <v>202</v>
      </c>
      <c r="BC301" s="50" t="s">
        <v>202</v>
      </c>
      <c r="BD301" s="50" t="s">
        <v>202</v>
      </c>
      <c r="BE301" s="50" t="s">
        <v>200</v>
      </c>
      <c r="BF301" s="50" t="s">
        <v>201</v>
      </c>
      <c r="BG301" s="50" t="s">
        <v>202</v>
      </c>
      <c r="BH301" s="50" t="s">
        <v>200</v>
      </c>
      <c r="BI301" s="50" t="s">
        <v>202</v>
      </c>
      <c r="BJ301" s="50" t="s">
        <v>202</v>
      </c>
      <c r="BK301" s="50" t="s">
        <v>202</v>
      </c>
      <c r="BL301" s="50" t="s">
        <v>202</v>
      </c>
      <c r="BM301" s="50" t="s">
        <v>436</v>
      </c>
      <c r="BN301" s="50" t="s">
        <v>389</v>
      </c>
      <c r="BO301" s="50" t="s">
        <v>91</v>
      </c>
      <c r="BP301" s="50" t="s">
        <v>286</v>
      </c>
      <c r="BQ301" s="50" t="s">
        <v>287</v>
      </c>
      <c r="BR301" s="50" t="s">
        <v>372</v>
      </c>
      <c r="BS301" s="111">
        <v>5</v>
      </c>
      <c r="BT301" s="50" t="s">
        <v>286</v>
      </c>
      <c r="BU301" s="50" t="s">
        <v>348</v>
      </c>
      <c r="BV301" s="50" t="s">
        <v>288</v>
      </c>
      <c r="BW301" s="50" t="s">
        <v>350</v>
      </c>
      <c r="BX301" s="50" t="s">
        <v>294</v>
      </c>
      <c r="BY301" s="50" t="s">
        <v>288</v>
      </c>
      <c r="BZ301" s="50" t="s">
        <v>287</v>
      </c>
      <c r="CA301" s="50"/>
      <c r="CB301" s="50" t="s">
        <v>287</v>
      </c>
      <c r="CC301" s="50" t="s">
        <v>287</v>
      </c>
      <c r="CD301" s="50" t="s">
        <v>287</v>
      </c>
      <c r="CE301" s="50"/>
      <c r="CF301" s="50" t="s">
        <v>287</v>
      </c>
      <c r="CG301" s="50" t="s">
        <v>287</v>
      </c>
      <c r="CH301" s="50" t="s">
        <v>486</v>
      </c>
      <c r="CI301" s="50" t="s">
        <v>287</v>
      </c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</row>
    <row r="302" spans="1:97" ht="36.75" customHeight="1" thickBot="1">
      <c r="A302" s="49">
        <v>46101.432210648149</v>
      </c>
      <c r="B302" s="50" t="s">
        <v>38</v>
      </c>
      <c r="C302" s="50" t="s">
        <v>45</v>
      </c>
      <c r="D302" s="50" t="s">
        <v>374</v>
      </c>
      <c r="E302" s="50" t="s">
        <v>285</v>
      </c>
      <c r="F302" s="50" t="s">
        <v>286</v>
      </c>
      <c r="G302" s="50" t="s">
        <v>73</v>
      </c>
      <c r="H302" s="50" t="s">
        <v>349</v>
      </c>
      <c r="I302" s="50" t="s">
        <v>91</v>
      </c>
      <c r="J302" s="50" t="s">
        <v>286</v>
      </c>
      <c r="K302" s="50" t="s">
        <v>291</v>
      </c>
      <c r="L302" s="50" t="s">
        <v>286</v>
      </c>
      <c r="M302" s="50" t="s">
        <v>370</v>
      </c>
      <c r="N302" s="111">
        <v>5</v>
      </c>
      <c r="O302" s="111">
        <v>5</v>
      </c>
      <c r="P302" s="111">
        <v>5</v>
      </c>
      <c r="Q302" s="111">
        <v>6</v>
      </c>
      <c r="R302" s="111">
        <v>6</v>
      </c>
      <c r="S302" s="111">
        <v>6</v>
      </c>
      <c r="T302" s="111">
        <v>5</v>
      </c>
      <c r="U302" s="111">
        <v>5</v>
      </c>
      <c r="V302" s="111">
        <v>6</v>
      </c>
      <c r="W302" s="111">
        <v>6</v>
      </c>
      <c r="X302" s="111">
        <v>6</v>
      </c>
      <c r="Y302" s="111">
        <v>6</v>
      </c>
      <c r="Z302" s="111">
        <v>6</v>
      </c>
      <c r="AA302" s="111">
        <v>6</v>
      </c>
      <c r="AB302" s="111">
        <v>6</v>
      </c>
      <c r="AC302" s="111">
        <v>5</v>
      </c>
      <c r="AD302" s="111">
        <v>5</v>
      </c>
      <c r="AE302" s="111">
        <v>5</v>
      </c>
      <c r="AF302" s="111">
        <v>5</v>
      </c>
      <c r="AG302" s="111">
        <v>5</v>
      </c>
      <c r="AH302" s="111">
        <v>5</v>
      </c>
      <c r="AI302" s="111">
        <v>5</v>
      </c>
      <c r="AJ302" s="111">
        <v>5</v>
      </c>
      <c r="AK302" s="111">
        <v>5</v>
      </c>
      <c r="AL302" s="111">
        <v>5</v>
      </c>
      <c r="AM302" s="111">
        <v>5</v>
      </c>
      <c r="AN302" s="111">
        <v>5</v>
      </c>
      <c r="AO302" s="111">
        <v>5</v>
      </c>
      <c r="AP302" s="111">
        <v>5</v>
      </c>
      <c r="AQ302" s="111">
        <v>6</v>
      </c>
      <c r="AR302" s="111">
        <v>5</v>
      </c>
      <c r="AS302" s="111">
        <v>5</v>
      </c>
      <c r="AT302" s="111">
        <v>5</v>
      </c>
      <c r="AU302" s="111">
        <v>5</v>
      </c>
      <c r="AV302" s="50" t="s">
        <v>200</v>
      </c>
      <c r="AW302" s="50" t="s">
        <v>200</v>
      </c>
      <c r="AX302" s="50" t="s">
        <v>201</v>
      </c>
      <c r="AY302" s="50" t="s">
        <v>199</v>
      </c>
      <c r="AZ302" s="50" t="s">
        <v>201</v>
      </c>
      <c r="BA302" s="50" t="s">
        <v>199</v>
      </c>
      <c r="BB302" s="50" t="s">
        <v>201</v>
      </c>
      <c r="BC302" s="50" t="s">
        <v>201</v>
      </c>
      <c r="BD302" s="50" t="s">
        <v>201</v>
      </c>
      <c r="BE302" s="50" t="s">
        <v>201</v>
      </c>
      <c r="BF302" s="50" t="s">
        <v>201</v>
      </c>
      <c r="BG302" s="50" t="s">
        <v>202</v>
      </c>
      <c r="BH302" s="50" t="s">
        <v>201</v>
      </c>
      <c r="BI302" s="50" t="s">
        <v>201</v>
      </c>
      <c r="BJ302" s="50" t="s">
        <v>201</v>
      </c>
      <c r="BK302" s="50" t="s">
        <v>201</v>
      </c>
      <c r="BL302" s="50" t="s">
        <v>201</v>
      </c>
      <c r="BM302" s="50" t="s">
        <v>436</v>
      </c>
      <c r="BN302" s="50" t="s">
        <v>577</v>
      </c>
      <c r="BO302" s="50" t="s">
        <v>91</v>
      </c>
      <c r="BP302" s="50" t="s">
        <v>286</v>
      </c>
      <c r="BQ302" s="50" t="s">
        <v>287</v>
      </c>
      <c r="BR302" s="50" t="s">
        <v>372</v>
      </c>
      <c r="BS302" s="111">
        <v>5</v>
      </c>
      <c r="BT302" s="50" t="s">
        <v>286</v>
      </c>
      <c r="BU302" s="50" t="s">
        <v>348</v>
      </c>
      <c r="BV302" s="50" t="s">
        <v>288</v>
      </c>
      <c r="BW302" s="50" t="s">
        <v>350</v>
      </c>
      <c r="BX302" s="50" t="s">
        <v>455</v>
      </c>
      <c r="BY302" s="50" t="s">
        <v>288</v>
      </c>
      <c r="BZ302" s="50" t="s">
        <v>287</v>
      </c>
      <c r="CA302" s="50"/>
      <c r="CB302" s="50" t="s">
        <v>287</v>
      </c>
      <c r="CC302" s="50" t="s">
        <v>287</v>
      </c>
      <c r="CD302" s="50" t="s">
        <v>287</v>
      </c>
      <c r="CE302" s="50"/>
      <c r="CF302" s="50" t="s">
        <v>287</v>
      </c>
      <c r="CG302" s="50" t="s">
        <v>287</v>
      </c>
      <c r="CH302" s="50" t="s">
        <v>486</v>
      </c>
      <c r="CI302" s="50" t="s">
        <v>287</v>
      </c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</row>
    <row r="303" spans="1:97" ht="36.75" customHeight="1" thickBot="1">
      <c r="A303" s="49">
        <v>46101.564953703702</v>
      </c>
      <c r="B303" s="50" t="s">
        <v>40</v>
      </c>
      <c r="C303" s="50" t="s">
        <v>45</v>
      </c>
      <c r="D303" s="50" t="s">
        <v>374</v>
      </c>
      <c r="E303" s="50" t="s">
        <v>61</v>
      </c>
      <c r="F303" s="50" t="s">
        <v>286</v>
      </c>
      <c r="G303" s="50" t="s">
        <v>73</v>
      </c>
      <c r="H303" s="50" t="s">
        <v>355</v>
      </c>
      <c r="I303" s="50" t="s">
        <v>81</v>
      </c>
      <c r="J303" s="50" t="s">
        <v>286</v>
      </c>
      <c r="K303" s="50" t="s">
        <v>287</v>
      </c>
      <c r="L303" s="50" t="s">
        <v>379</v>
      </c>
      <c r="M303" s="50" t="s">
        <v>370</v>
      </c>
      <c r="N303" s="111">
        <v>5</v>
      </c>
      <c r="O303" s="111">
        <v>5</v>
      </c>
      <c r="P303" s="111">
        <v>5</v>
      </c>
      <c r="Q303" s="111">
        <v>5</v>
      </c>
      <c r="R303" s="111">
        <v>5</v>
      </c>
      <c r="S303" s="111">
        <v>6</v>
      </c>
      <c r="T303" s="111">
        <v>5</v>
      </c>
      <c r="U303" s="111">
        <v>5</v>
      </c>
      <c r="V303" s="111">
        <v>6</v>
      </c>
      <c r="W303" s="111">
        <v>6</v>
      </c>
      <c r="X303" s="111">
        <v>6</v>
      </c>
      <c r="Y303" s="111">
        <v>6</v>
      </c>
      <c r="Z303" s="111">
        <v>6</v>
      </c>
      <c r="AA303" s="111">
        <v>6</v>
      </c>
      <c r="AB303" s="111">
        <v>6</v>
      </c>
      <c r="AC303" s="111">
        <v>5</v>
      </c>
      <c r="AD303" s="111">
        <v>5</v>
      </c>
      <c r="AE303" s="111">
        <v>5</v>
      </c>
      <c r="AF303" s="111">
        <v>5</v>
      </c>
      <c r="AG303" s="111">
        <v>5</v>
      </c>
      <c r="AH303" s="111">
        <v>5</v>
      </c>
      <c r="AI303" s="111">
        <v>5</v>
      </c>
      <c r="AJ303" s="111">
        <v>5</v>
      </c>
      <c r="AK303" s="111">
        <v>5</v>
      </c>
      <c r="AL303" s="111">
        <v>5</v>
      </c>
      <c r="AM303" s="111">
        <v>5</v>
      </c>
      <c r="AN303" s="111">
        <v>5</v>
      </c>
      <c r="AO303" s="111">
        <v>5</v>
      </c>
      <c r="AP303" s="111">
        <v>5</v>
      </c>
      <c r="AQ303" s="111">
        <v>6</v>
      </c>
      <c r="AR303" s="111">
        <v>5</v>
      </c>
      <c r="AS303" s="111">
        <v>5</v>
      </c>
      <c r="AT303" s="111">
        <v>5</v>
      </c>
      <c r="AU303" s="111">
        <v>5</v>
      </c>
      <c r="AV303" s="50" t="s">
        <v>199</v>
      </c>
      <c r="AW303" s="50" t="s">
        <v>202</v>
      </c>
      <c r="AX303" s="50" t="s">
        <v>201</v>
      </c>
      <c r="AY303" s="50" t="s">
        <v>199</v>
      </c>
      <c r="AZ303" s="50" t="s">
        <v>202</v>
      </c>
      <c r="BA303" s="50" t="s">
        <v>202</v>
      </c>
      <c r="BB303" s="50" t="s">
        <v>202</v>
      </c>
      <c r="BC303" s="50" t="s">
        <v>202</v>
      </c>
      <c r="BD303" s="50" t="s">
        <v>202</v>
      </c>
      <c r="BE303" s="50" t="s">
        <v>202</v>
      </c>
      <c r="BF303" s="50" t="s">
        <v>201</v>
      </c>
      <c r="BG303" s="50" t="s">
        <v>202</v>
      </c>
      <c r="BH303" s="50" t="s">
        <v>201</v>
      </c>
      <c r="BI303" s="50" t="s">
        <v>202</v>
      </c>
      <c r="BJ303" s="50" t="s">
        <v>202</v>
      </c>
      <c r="BK303" s="50" t="s">
        <v>202</v>
      </c>
      <c r="BL303" s="50" t="s">
        <v>202</v>
      </c>
      <c r="BM303" s="50" t="s">
        <v>436</v>
      </c>
      <c r="BN303" s="50" t="s">
        <v>318</v>
      </c>
      <c r="BO303" s="50" t="s">
        <v>91</v>
      </c>
      <c r="BP303" s="50"/>
      <c r="BQ303" s="50" t="s">
        <v>287</v>
      </c>
      <c r="BR303" s="50" t="s">
        <v>578</v>
      </c>
      <c r="BS303" s="111">
        <v>5</v>
      </c>
      <c r="BT303" s="50" t="s">
        <v>286</v>
      </c>
      <c r="BU303" s="50" t="s">
        <v>348</v>
      </c>
      <c r="BV303" s="50" t="s">
        <v>288</v>
      </c>
      <c r="BW303" s="50" t="s">
        <v>350</v>
      </c>
      <c r="BX303" s="50" t="s">
        <v>387</v>
      </c>
      <c r="BY303" s="50" t="s">
        <v>288</v>
      </c>
      <c r="BZ303" s="50" t="s">
        <v>287</v>
      </c>
      <c r="CA303" s="50"/>
      <c r="CB303" s="50" t="s">
        <v>287</v>
      </c>
      <c r="CC303" s="50" t="s">
        <v>287</v>
      </c>
      <c r="CD303" s="50" t="s">
        <v>287</v>
      </c>
      <c r="CE303" s="50"/>
      <c r="CF303" s="50" t="s">
        <v>287</v>
      </c>
      <c r="CG303" s="50" t="s">
        <v>287</v>
      </c>
      <c r="CH303" s="50" t="s">
        <v>486</v>
      </c>
      <c r="CI303" s="50" t="s">
        <v>287</v>
      </c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</row>
    <row r="304" spans="1:97" ht="36.75" customHeight="1" thickBot="1">
      <c r="A304" s="49">
        <v>46101.568090277775</v>
      </c>
      <c r="B304" s="50" t="s">
        <v>39</v>
      </c>
      <c r="C304" s="50" t="s">
        <v>45</v>
      </c>
      <c r="D304" s="50" t="s">
        <v>374</v>
      </c>
      <c r="E304" s="50" t="s">
        <v>61</v>
      </c>
      <c r="F304" s="50" t="s">
        <v>286</v>
      </c>
      <c r="G304" s="50" t="s">
        <v>73</v>
      </c>
      <c r="H304" s="50" t="s">
        <v>307</v>
      </c>
      <c r="I304" s="50" t="s">
        <v>91</v>
      </c>
      <c r="J304" s="50" t="s">
        <v>286</v>
      </c>
      <c r="K304" s="50" t="s">
        <v>287</v>
      </c>
      <c r="L304" s="50" t="s">
        <v>286</v>
      </c>
      <c r="M304" s="50" t="s">
        <v>370</v>
      </c>
      <c r="N304" s="111">
        <v>5</v>
      </c>
      <c r="O304" s="111">
        <v>5</v>
      </c>
      <c r="P304" s="111">
        <v>5</v>
      </c>
      <c r="Q304" s="111">
        <v>5</v>
      </c>
      <c r="R304" s="111">
        <v>6</v>
      </c>
      <c r="S304" s="111">
        <v>6</v>
      </c>
      <c r="T304" s="111">
        <v>5</v>
      </c>
      <c r="U304" s="111">
        <v>5</v>
      </c>
      <c r="V304" s="111">
        <v>6</v>
      </c>
      <c r="W304" s="111">
        <v>6</v>
      </c>
      <c r="X304" s="111">
        <v>6</v>
      </c>
      <c r="Y304" s="111">
        <v>6</v>
      </c>
      <c r="Z304" s="111">
        <v>6</v>
      </c>
      <c r="AA304" s="111">
        <v>6</v>
      </c>
      <c r="AB304" s="111">
        <v>6</v>
      </c>
      <c r="AC304" s="111">
        <v>5</v>
      </c>
      <c r="AD304" s="111">
        <v>5</v>
      </c>
      <c r="AE304" s="111">
        <v>5</v>
      </c>
      <c r="AF304" s="111">
        <v>5</v>
      </c>
      <c r="AG304" s="111">
        <v>5</v>
      </c>
      <c r="AH304" s="111">
        <v>5</v>
      </c>
      <c r="AI304" s="111">
        <v>5</v>
      </c>
      <c r="AJ304" s="111">
        <v>5</v>
      </c>
      <c r="AK304" s="111">
        <v>5</v>
      </c>
      <c r="AL304" s="111">
        <v>5</v>
      </c>
      <c r="AM304" s="111">
        <v>5</v>
      </c>
      <c r="AN304" s="111">
        <v>5</v>
      </c>
      <c r="AO304" s="111">
        <v>5</v>
      </c>
      <c r="AP304" s="111">
        <v>5</v>
      </c>
      <c r="AQ304" s="111">
        <v>6</v>
      </c>
      <c r="AR304" s="111">
        <v>5</v>
      </c>
      <c r="AS304" s="111">
        <v>5</v>
      </c>
      <c r="AT304" s="111">
        <v>5</v>
      </c>
      <c r="AU304" s="111">
        <v>5</v>
      </c>
      <c r="AV304" s="50" t="s">
        <v>200</v>
      </c>
      <c r="AW304" s="50" t="s">
        <v>200</v>
      </c>
      <c r="AX304" s="50" t="s">
        <v>200</v>
      </c>
      <c r="AY304" s="50" t="s">
        <v>199</v>
      </c>
      <c r="AZ304" s="50" t="s">
        <v>202</v>
      </c>
      <c r="BA304" s="50" t="s">
        <v>199</v>
      </c>
      <c r="BB304" s="50" t="s">
        <v>202</v>
      </c>
      <c r="BC304" s="50" t="s">
        <v>202</v>
      </c>
      <c r="BD304" s="50" t="s">
        <v>202</v>
      </c>
      <c r="BE304" s="50" t="s">
        <v>202</v>
      </c>
      <c r="BF304" s="50" t="s">
        <v>200</v>
      </c>
      <c r="BG304" s="50" t="s">
        <v>202</v>
      </c>
      <c r="BH304" s="50" t="s">
        <v>201</v>
      </c>
      <c r="BI304" s="50" t="s">
        <v>202</v>
      </c>
      <c r="BJ304" s="50" t="s">
        <v>202</v>
      </c>
      <c r="BK304" s="50" t="s">
        <v>202</v>
      </c>
      <c r="BL304" s="50" t="s">
        <v>202</v>
      </c>
      <c r="BM304" s="50" t="s">
        <v>436</v>
      </c>
      <c r="BN304" s="50" t="s">
        <v>318</v>
      </c>
      <c r="BO304" s="50" t="s">
        <v>91</v>
      </c>
      <c r="BP304" s="50" t="s">
        <v>286</v>
      </c>
      <c r="BQ304" s="50" t="s">
        <v>287</v>
      </c>
      <c r="BR304" s="50" t="s">
        <v>372</v>
      </c>
      <c r="BS304" s="111">
        <v>5</v>
      </c>
      <c r="BT304" s="50" t="s">
        <v>286</v>
      </c>
      <c r="BU304" s="50" t="s">
        <v>348</v>
      </c>
      <c r="BV304" s="50" t="s">
        <v>288</v>
      </c>
      <c r="BW304" s="50" t="s">
        <v>350</v>
      </c>
      <c r="BX304" s="50" t="s">
        <v>387</v>
      </c>
      <c r="BY304" s="50" t="s">
        <v>288</v>
      </c>
      <c r="BZ304" s="50" t="s">
        <v>287</v>
      </c>
      <c r="CA304" s="50"/>
      <c r="CB304" s="50" t="s">
        <v>287</v>
      </c>
      <c r="CC304" s="50" t="s">
        <v>287</v>
      </c>
      <c r="CD304" s="50" t="s">
        <v>287</v>
      </c>
      <c r="CE304" s="50"/>
      <c r="CF304" s="50" t="s">
        <v>287</v>
      </c>
      <c r="CG304" s="50" t="s">
        <v>287</v>
      </c>
      <c r="CH304" s="50" t="s">
        <v>486</v>
      </c>
      <c r="CI304" s="50" t="s">
        <v>287</v>
      </c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</row>
    <row r="305" spans="1:97" ht="36.75" customHeight="1" thickBot="1">
      <c r="A305" s="49">
        <v>46101.574456018519</v>
      </c>
      <c r="B305" s="50" t="s">
        <v>38</v>
      </c>
      <c r="C305" s="50" t="s">
        <v>45</v>
      </c>
      <c r="D305" s="50" t="s">
        <v>374</v>
      </c>
      <c r="E305" s="50" t="s">
        <v>62</v>
      </c>
      <c r="F305" s="50" t="s">
        <v>286</v>
      </c>
      <c r="G305" s="50" t="s">
        <v>73</v>
      </c>
      <c r="H305" s="50" t="s">
        <v>451</v>
      </c>
      <c r="I305" s="50" t="s">
        <v>91</v>
      </c>
      <c r="J305" s="50" t="s">
        <v>286</v>
      </c>
      <c r="K305" s="50" t="s">
        <v>291</v>
      </c>
      <c r="L305" s="50" t="s">
        <v>286</v>
      </c>
      <c r="M305" s="50" t="s">
        <v>370</v>
      </c>
      <c r="N305" s="111">
        <v>4</v>
      </c>
      <c r="O305" s="111">
        <v>4</v>
      </c>
      <c r="P305" s="111">
        <v>4</v>
      </c>
      <c r="Q305" s="111">
        <v>4</v>
      </c>
      <c r="R305" s="111">
        <v>6</v>
      </c>
      <c r="S305" s="111">
        <v>6</v>
      </c>
      <c r="T305" s="111">
        <v>3</v>
      </c>
      <c r="U305" s="111">
        <v>4</v>
      </c>
      <c r="V305" s="111">
        <v>6</v>
      </c>
      <c r="W305" s="111">
        <v>6</v>
      </c>
      <c r="X305" s="111">
        <v>6</v>
      </c>
      <c r="Y305" s="111">
        <v>6</v>
      </c>
      <c r="Z305" s="111">
        <v>6</v>
      </c>
      <c r="AA305" s="111">
        <v>6</v>
      </c>
      <c r="AB305" s="111">
        <v>6</v>
      </c>
      <c r="AC305" s="111">
        <v>5</v>
      </c>
      <c r="AD305" s="111">
        <v>5</v>
      </c>
      <c r="AE305" s="111">
        <v>5</v>
      </c>
      <c r="AF305" s="111">
        <v>5</v>
      </c>
      <c r="AG305" s="111">
        <v>5</v>
      </c>
      <c r="AH305" s="111">
        <v>5</v>
      </c>
      <c r="AI305" s="111">
        <v>5</v>
      </c>
      <c r="AJ305" s="111">
        <v>5</v>
      </c>
      <c r="AK305" s="111">
        <v>5</v>
      </c>
      <c r="AL305" s="111">
        <v>5</v>
      </c>
      <c r="AM305" s="111">
        <v>5</v>
      </c>
      <c r="AN305" s="111">
        <v>5</v>
      </c>
      <c r="AO305" s="111">
        <v>5</v>
      </c>
      <c r="AP305" s="111">
        <v>5</v>
      </c>
      <c r="AQ305" s="111">
        <v>6</v>
      </c>
      <c r="AR305" s="111">
        <v>5</v>
      </c>
      <c r="AS305" s="111">
        <v>5</v>
      </c>
      <c r="AT305" s="111">
        <v>5</v>
      </c>
      <c r="AU305" s="111">
        <v>5</v>
      </c>
      <c r="AV305" s="50" t="s">
        <v>200</v>
      </c>
      <c r="AW305" s="50" t="s">
        <v>200</v>
      </c>
      <c r="AX305" s="50" t="s">
        <v>201</v>
      </c>
      <c r="AY305" s="50" t="s">
        <v>199</v>
      </c>
      <c r="AZ305" s="50" t="s">
        <v>202</v>
      </c>
      <c r="BA305" s="50" t="s">
        <v>199</v>
      </c>
      <c r="BB305" s="50" t="s">
        <v>202</v>
      </c>
      <c r="BC305" s="50" t="s">
        <v>202</v>
      </c>
      <c r="BD305" s="50" t="s">
        <v>202</v>
      </c>
      <c r="BE305" s="50" t="s">
        <v>202</v>
      </c>
      <c r="BF305" s="50" t="s">
        <v>201</v>
      </c>
      <c r="BG305" s="50" t="s">
        <v>202</v>
      </c>
      <c r="BH305" s="50" t="s">
        <v>200</v>
      </c>
      <c r="BI305" s="50" t="s">
        <v>202</v>
      </c>
      <c r="BJ305" s="50" t="s">
        <v>202</v>
      </c>
      <c r="BK305" s="50" t="s">
        <v>202</v>
      </c>
      <c r="BL305" s="50" t="s">
        <v>202</v>
      </c>
      <c r="BM305" s="50" t="s">
        <v>436</v>
      </c>
      <c r="BN305" s="50" t="s">
        <v>399</v>
      </c>
      <c r="BO305" s="50" t="s">
        <v>91</v>
      </c>
      <c r="BP305" s="50" t="s">
        <v>286</v>
      </c>
      <c r="BQ305" s="50" t="s">
        <v>287</v>
      </c>
      <c r="BR305" s="50" t="s">
        <v>372</v>
      </c>
      <c r="BS305" s="111">
        <v>5</v>
      </c>
      <c r="BT305" s="50" t="s">
        <v>286</v>
      </c>
      <c r="BU305" s="50" t="s">
        <v>348</v>
      </c>
      <c r="BV305" s="50" t="s">
        <v>288</v>
      </c>
      <c r="BW305" s="50" t="s">
        <v>350</v>
      </c>
      <c r="BX305" s="50" t="s">
        <v>387</v>
      </c>
      <c r="BY305" s="50" t="s">
        <v>288</v>
      </c>
      <c r="BZ305" s="50" t="s">
        <v>287</v>
      </c>
      <c r="CA305" s="50"/>
      <c r="CB305" s="50" t="s">
        <v>287</v>
      </c>
      <c r="CC305" s="50" t="s">
        <v>287</v>
      </c>
      <c r="CD305" s="50" t="s">
        <v>287</v>
      </c>
      <c r="CE305" s="50"/>
      <c r="CF305" s="50" t="s">
        <v>287</v>
      </c>
      <c r="CG305" s="50" t="s">
        <v>287</v>
      </c>
      <c r="CH305" s="50" t="s">
        <v>486</v>
      </c>
      <c r="CI305" s="50" t="s">
        <v>287</v>
      </c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</row>
    <row r="306" spans="1:97" ht="36.75" customHeight="1" thickBot="1">
      <c r="A306" s="49">
        <v>46101.579467592594</v>
      </c>
      <c r="B306" s="50" t="s">
        <v>38</v>
      </c>
      <c r="C306" s="50" t="s">
        <v>45</v>
      </c>
      <c r="D306" s="50" t="s">
        <v>374</v>
      </c>
      <c r="E306" s="50" t="s">
        <v>61</v>
      </c>
      <c r="F306" s="50" t="s">
        <v>286</v>
      </c>
      <c r="G306" s="50" t="s">
        <v>73</v>
      </c>
      <c r="H306" s="50" t="s">
        <v>434</v>
      </c>
      <c r="I306" s="50" t="s">
        <v>91</v>
      </c>
      <c r="J306" s="50" t="s">
        <v>286</v>
      </c>
      <c r="K306" s="50" t="s">
        <v>291</v>
      </c>
      <c r="L306" s="50" t="s">
        <v>286</v>
      </c>
      <c r="M306" s="50" t="s">
        <v>370</v>
      </c>
      <c r="N306" s="111">
        <v>5</v>
      </c>
      <c r="O306" s="111">
        <v>5</v>
      </c>
      <c r="P306" s="111">
        <v>5</v>
      </c>
      <c r="Q306" s="111">
        <v>6</v>
      </c>
      <c r="R306" s="111">
        <v>6</v>
      </c>
      <c r="S306" s="111">
        <v>6</v>
      </c>
      <c r="T306" s="111">
        <v>5</v>
      </c>
      <c r="U306" s="111">
        <v>5</v>
      </c>
      <c r="V306" s="111">
        <v>6</v>
      </c>
      <c r="W306" s="111">
        <v>6</v>
      </c>
      <c r="X306" s="111">
        <v>6</v>
      </c>
      <c r="Y306" s="111">
        <v>6</v>
      </c>
      <c r="Z306" s="111">
        <v>6</v>
      </c>
      <c r="AA306" s="111">
        <v>6</v>
      </c>
      <c r="AB306" s="111">
        <v>6</v>
      </c>
      <c r="AC306" s="111">
        <v>5</v>
      </c>
      <c r="AD306" s="111">
        <v>5</v>
      </c>
      <c r="AE306" s="111">
        <v>5</v>
      </c>
      <c r="AF306" s="111">
        <v>5</v>
      </c>
      <c r="AG306" s="111">
        <v>5</v>
      </c>
      <c r="AH306" s="111">
        <v>5</v>
      </c>
      <c r="AI306" s="111">
        <v>5</v>
      </c>
      <c r="AJ306" s="111">
        <v>5</v>
      </c>
      <c r="AK306" s="111">
        <v>5</v>
      </c>
      <c r="AL306" s="111">
        <v>5</v>
      </c>
      <c r="AM306" s="111">
        <v>5</v>
      </c>
      <c r="AN306" s="111">
        <v>5</v>
      </c>
      <c r="AO306" s="111">
        <v>5</v>
      </c>
      <c r="AP306" s="111">
        <v>5</v>
      </c>
      <c r="AQ306" s="111">
        <v>6</v>
      </c>
      <c r="AR306" s="111">
        <v>5</v>
      </c>
      <c r="AS306" s="111">
        <v>5</v>
      </c>
      <c r="AT306" s="111">
        <v>5</v>
      </c>
      <c r="AU306" s="111">
        <v>5</v>
      </c>
      <c r="AV306" s="50" t="s">
        <v>202</v>
      </c>
      <c r="AW306" s="50" t="s">
        <v>202</v>
      </c>
      <c r="AX306" s="50" t="s">
        <v>199</v>
      </c>
      <c r="AY306" s="50" t="s">
        <v>199</v>
      </c>
      <c r="AZ306" s="50" t="s">
        <v>202</v>
      </c>
      <c r="BA306" s="50" t="s">
        <v>199</v>
      </c>
      <c r="BB306" s="50" t="s">
        <v>202</v>
      </c>
      <c r="BC306" s="50" t="s">
        <v>202</v>
      </c>
      <c r="BD306" s="50" t="s">
        <v>202</v>
      </c>
      <c r="BE306" s="50" t="s">
        <v>202</v>
      </c>
      <c r="BF306" s="50" t="s">
        <v>201</v>
      </c>
      <c r="BG306" s="50" t="s">
        <v>202</v>
      </c>
      <c r="BH306" s="50" t="s">
        <v>200</v>
      </c>
      <c r="BI306" s="50" t="s">
        <v>202</v>
      </c>
      <c r="BJ306" s="50" t="s">
        <v>202</v>
      </c>
      <c r="BK306" s="50" t="s">
        <v>202</v>
      </c>
      <c r="BL306" s="50" t="s">
        <v>202</v>
      </c>
      <c r="BM306" s="50" t="s">
        <v>436</v>
      </c>
      <c r="BN306" s="50" t="s">
        <v>318</v>
      </c>
      <c r="BO306" s="50" t="s">
        <v>91</v>
      </c>
      <c r="BP306" s="50" t="s">
        <v>286</v>
      </c>
      <c r="BQ306" s="50" t="s">
        <v>287</v>
      </c>
      <c r="BR306" s="50" t="s">
        <v>372</v>
      </c>
      <c r="BS306" s="111">
        <v>5</v>
      </c>
      <c r="BT306" s="50" t="s">
        <v>286</v>
      </c>
      <c r="BU306" s="50" t="s">
        <v>348</v>
      </c>
      <c r="BV306" s="50" t="s">
        <v>288</v>
      </c>
      <c r="BW306" s="50" t="s">
        <v>350</v>
      </c>
      <c r="BX306" s="50" t="s">
        <v>387</v>
      </c>
      <c r="BY306" s="50" t="s">
        <v>288</v>
      </c>
      <c r="BZ306" s="50" t="s">
        <v>287</v>
      </c>
      <c r="CA306" s="50"/>
      <c r="CB306" s="50" t="s">
        <v>287</v>
      </c>
      <c r="CC306" s="50" t="s">
        <v>287</v>
      </c>
      <c r="CD306" s="50" t="s">
        <v>287</v>
      </c>
      <c r="CE306" s="50"/>
      <c r="CF306" s="50" t="s">
        <v>287</v>
      </c>
      <c r="CG306" s="50" t="s">
        <v>287</v>
      </c>
      <c r="CH306" s="50" t="s">
        <v>486</v>
      </c>
      <c r="CI306" s="50" t="s">
        <v>287</v>
      </c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</row>
    <row r="307" spans="1:97" ht="36.75" customHeight="1" thickBot="1">
      <c r="A307" s="49">
        <v>46101.583124999997</v>
      </c>
      <c r="B307" s="50" t="s">
        <v>39</v>
      </c>
      <c r="C307" s="50" t="s">
        <v>46</v>
      </c>
      <c r="D307" s="50" t="s">
        <v>369</v>
      </c>
      <c r="E307" s="50" t="s">
        <v>61</v>
      </c>
      <c r="F307" s="50" t="s">
        <v>286</v>
      </c>
      <c r="G307" s="50" t="s">
        <v>74</v>
      </c>
      <c r="H307" s="50" t="s">
        <v>302</v>
      </c>
      <c r="I307" s="50" t="s">
        <v>91</v>
      </c>
      <c r="J307" s="50" t="s">
        <v>286</v>
      </c>
      <c r="K307" s="50" t="s">
        <v>291</v>
      </c>
      <c r="L307" s="50" t="s">
        <v>286</v>
      </c>
      <c r="M307" s="50" t="s">
        <v>370</v>
      </c>
      <c r="N307" s="111">
        <v>5</v>
      </c>
      <c r="O307" s="111">
        <v>5</v>
      </c>
      <c r="P307" s="111">
        <v>5</v>
      </c>
      <c r="Q307" s="111">
        <v>5</v>
      </c>
      <c r="R307" s="111">
        <v>5</v>
      </c>
      <c r="S307" s="111">
        <v>6</v>
      </c>
      <c r="T307" s="111">
        <v>5</v>
      </c>
      <c r="U307" s="111">
        <v>5</v>
      </c>
      <c r="V307" s="111">
        <v>6</v>
      </c>
      <c r="W307" s="111">
        <v>6</v>
      </c>
      <c r="X307" s="111">
        <v>6</v>
      </c>
      <c r="Y307" s="111">
        <v>6</v>
      </c>
      <c r="Z307" s="111">
        <v>6</v>
      </c>
      <c r="AA307" s="111">
        <v>6</v>
      </c>
      <c r="AB307" s="111">
        <v>6</v>
      </c>
      <c r="AC307" s="111">
        <v>5</v>
      </c>
      <c r="AD307" s="111">
        <v>5</v>
      </c>
      <c r="AE307" s="111">
        <v>5</v>
      </c>
      <c r="AF307" s="111">
        <v>5</v>
      </c>
      <c r="AG307" s="111">
        <v>5</v>
      </c>
      <c r="AH307" s="111">
        <v>5</v>
      </c>
      <c r="AI307" s="111">
        <v>5</v>
      </c>
      <c r="AJ307" s="111">
        <v>5</v>
      </c>
      <c r="AK307" s="111">
        <v>5</v>
      </c>
      <c r="AL307" s="111">
        <v>5</v>
      </c>
      <c r="AM307" s="111">
        <v>5</v>
      </c>
      <c r="AN307" s="111">
        <v>5</v>
      </c>
      <c r="AO307" s="111">
        <v>5</v>
      </c>
      <c r="AP307" s="111">
        <v>5</v>
      </c>
      <c r="AQ307" s="111">
        <v>6</v>
      </c>
      <c r="AR307" s="111">
        <v>5</v>
      </c>
      <c r="AS307" s="111">
        <v>5</v>
      </c>
      <c r="AT307" s="111">
        <v>5</v>
      </c>
      <c r="AU307" s="111">
        <v>5</v>
      </c>
      <c r="AV307" s="50" t="s">
        <v>202</v>
      </c>
      <c r="AW307" s="50" t="s">
        <v>202</v>
      </c>
      <c r="AX307" s="50" t="s">
        <v>201</v>
      </c>
      <c r="AY307" s="50" t="s">
        <v>199</v>
      </c>
      <c r="AZ307" s="50" t="s">
        <v>202</v>
      </c>
      <c r="BA307" s="50" t="s">
        <v>199</v>
      </c>
      <c r="BB307" s="50" t="s">
        <v>202</v>
      </c>
      <c r="BC307" s="50" t="s">
        <v>202</v>
      </c>
      <c r="BD307" s="50" t="s">
        <v>202</v>
      </c>
      <c r="BE307" s="50" t="s">
        <v>202</v>
      </c>
      <c r="BF307" s="50" t="s">
        <v>201</v>
      </c>
      <c r="BG307" s="50" t="s">
        <v>202</v>
      </c>
      <c r="BH307" s="50" t="s">
        <v>201</v>
      </c>
      <c r="BI307" s="50" t="s">
        <v>202</v>
      </c>
      <c r="BJ307" s="50" t="s">
        <v>202</v>
      </c>
      <c r="BK307" s="50" t="s">
        <v>202</v>
      </c>
      <c r="BL307" s="50" t="s">
        <v>202</v>
      </c>
      <c r="BM307" s="50" t="s">
        <v>436</v>
      </c>
      <c r="BN307" s="50" t="s">
        <v>318</v>
      </c>
      <c r="BO307" s="50" t="s">
        <v>91</v>
      </c>
      <c r="BP307" s="50" t="s">
        <v>286</v>
      </c>
      <c r="BQ307" s="50" t="s">
        <v>287</v>
      </c>
      <c r="BR307" s="50" t="s">
        <v>372</v>
      </c>
      <c r="BS307" s="111">
        <v>5</v>
      </c>
      <c r="BT307" s="50" t="s">
        <v>286</v>
      </c>
      <c r="BU307" s="50" t="s">
        <v>348</v>
      </c>
      <c r="BV307" s="50" t="s">
        <v>288</v>
      </c>
      <c r="BW307" s="50" t="s">
        <v>350</v>
      </c>
      <c r="BX307" s="50" t="s">
        <v>387</v>
      </c>
      <c r="BY307" s="50" t="s">
        <v>288</v>
      </c>
      <c r="BZ307" s="50" t="s">
        <v>287</v>
      </c>
      <c r="CA307" s="50"/>
      <c r="CB307" s="50" t="s">
        <v>287</v>
      </c>
      <c r="CC307" s="50" t="s">
        <v>287</v>
      </c>
      <c r="CD307" s="50" t="s">
        <v>287</v>
      </c>
      <c r="CE307" s="50"/>
      <c r="CF307" s="50" t="s">
        <v>287</v>
      </c>
      <c r="CG307" s="50" t="s">
        <v>287</v>
      </c>
      <c r="CH307" s="50" t="s">
        <v>486</v>
      </c>
      <c r="CI307" s="50" t="s">
        <v>287</v>
      </c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</row>
    <row r="308" spans="1:97" ht="36.75" customHeight="1" thickBot="1">
      <c r="A308" s="49">
        <v>46101.587465277778</v>
      </c>
      <c r="B308" s="50" t="s">
        <v>38</v>
      </c>
      <c r="C308" s="50" t="s">
        <v>45</v>
      </c>
      <c r="D308" s="50" t="s">
        <v>369</v>
      </c>
      <c r="E308" s="50" t="s">
        <v>62</v>
      </c>
      <c r="F308" s="50" t="s">
        <v>286</v>
      </c>
      <c r="G308" s="50" t="s">
        <v>73</v>
      </c>
      <c r="H308" s="50" t="s">
        <v>314</v>
      </c>
      <c r="I308" s="50" t="s">
        <v>91</v>
      </c>
      <c r="J308" s="50" t="s">
        <v>286</v>
      </c>
      <c r="K308" s="50" t="s">
        <v>291</v>
      </c>
      <c r="L308" s="50" t="s">
        <v>286</v>
      </c>
      <c r="M308" s="50" t="s">
        <v>370</v>
      </c>
      <c r="N308" s="111">
        <v>5</v>
      </c>
      <c r="O308" s="111">
        <v>5</v>
      </c>
      <c r="P308" s="111">
        <v>5</v>
      </c>
      <c r="Q308" s="111">
        <v>6</v>
      </c>
      <c r="R308" s="111">
        <v>6</v>
      </c>
      <c r="S308" s="111">
        <v>6</v>
      </c>
      <c r="T308" s="111">
        <v>5</v>
      </c>
      <c r="U308" s="111">
        <v>5</v>
      </c>
      <c r="V308" s="111">
        <v>6</v>
      </c>
      <c r="W308" s="111">
        <v>6</v>
      </c>
      <c r="X308" s="111">
        <v>6</v>
      </c>
      <c r="Y308" s="111">
        <v>6</v>
      </c>
      <c r="Z308" s="111">
        <v>6</v>
      </c>
      <c r="AA308" s="111">
        <v>6</v>
      </c>
      <c r="AB308" s="111">
        <v>6</v>
      </c>
      <c r="AC308" s="111">
        <v>5</v>
      </c>
      <c r="AD308" s="111">
        <v>5</v>
      </c>
      <c r="AE308" s="111">
        <v>5</v>
      </c>
      <c r="AF308" s="111">
        <v>5</v>
      </c>
      <c r="AG308" s="111">
        <v>5</v>
      </c>
      <c r="AH308" s="111">
        <v>5</v>
      </c>
      <c r="AI308" s="111">
        <v>5</v>
      </c>
      <c r="AJ308" s="111">
        <v>5</v>
      </c>
      <c r="AK308" s="111">
        <v>5</v>
      </c>
      <c r="AL308" s="111">
        <v>5</v>
      </c>
      <c r="AM308" s="111">
        <v>5</v>
      </c>
      <c r="AN308" s="111">
        <v>5</v>
      </c>
      <c r="AO308" s="111">
        <v>5</v>
      </c>
      <c r="AP308" s="111">
        <v>5</v>
      </c>
      <c r="AQ308" s="111">
        <v>6</v>
      </c>
      <c r="AR308" s="111">
        <v>5</v>
      </c>
      <c r="AS308" s="111">
        <v>5</v>
      </c>
      <c r="AT308" s="111">
        <v>5</v>
      </c>
      <c r="AU308" s="111">
        <v>5</v>
      </c>
      <c r="AV308" s="50" t="s">
        <v>202</v>
      </c>
      <c r="AW308" s="50" t="s">
        <v>202</v>
      </c>
      <c r="AX308" s="50" t="s">
        <v>201</v>
      </c>
      <c r="AY308" s="50" t="s">
        <v>199</v>
      </c>
      <c r="AZ308" s="50" t="s">
        <v>202</v>
      </c>
      <c r="BA308" s="50" t="s">
        <v>202</v>
      </c>
      <c r="BB308" s="50" t="s">
        <v>202</v>
      </c>
      <c r="BC308" s="50" t="s">
        <v>202</v>
      </c>
      <c r="BD308" s="50" t="s">
        <v>202</v>
      </c>
      <c r="BE308" s="50" t="s">
        <v>200</v>
      </c>
      <c r="BF308" s="50" t="s">
        <v>201</v>
      </c>
      <c r="BG308" s="50" t="s">
        <v>202</v>
      </c>
      <c r="BH308" s="50" t="s">
        <v>200</v>
      </c>
      <c r="BI308" s="50" t="s">
        <v>202</v>
      </c>
      <c r="BJ308" s="50" t="s">
        <v>202</v>
      </c>
      <c r="BK308" s="50" t="s">
        <v>202</v>
      </c>
      <c r="BL308" s="50" t="s">
        <v>202</v>
      </c>
      <c r="BM308" s="50" t="s">
        <v>436</v>
      </c>
      <c r="BN308" s="50" t="s">
        <v>399</v>
      </c>
      <c r="BO308" s="50" t="s">
        <v>91</v>
      </c>
      <c r="BP308" s="50" t="s">
        <v>286</v>
      </c>
      <c r="BQ308" s="50" t="s">
        <v>287</v>
      </c>
      <c r="BR308" s="50" t="s">
        <v>372</v>
      </c>
      <c r="BS308" s="111">
        <v>5</v>
      </c>
      <c r="BT308" s="50" t="s">
        <v>286</v>
      </c>
      <c r="BU308" s="50" t="s">
        <v>348</v>
      </c>
      <c r="BV308" s="50" t="s">
        <v>288</v>
      </c>
      <c r="BW308" s="50" t="s">
        <v>350</v>
      </c>
      <c r="BX308" s="50" t="s">
        <v>387</v>
      </c>
      <c r="BY308" s="50" t="s">
        <v>288</v>
      </c>
      <c r="BZ308" s="50" t="s">
        <v>287</v>
      </c>
      <c r="CA308" s="50"/>
      <c r="CB308" s="50" t="s">
        <v>287</v>
      </c>
      <c r="CC308" s="50" t="s">
        <v>287</v>
      </c>
      <c r="CD308" s="50" t="s">
        <v>287</v>
      </c>
      <c r="CE308" s="50"/>
      <c r="CF308" s="50" t="s">
        <v>287</v>
      </c>
      <c r="CG308" s="50" t="s">
        <v>287</v>
      </c>
      <c r="CH308" s="50" t="s">
        <v>486</v>
      </c>
      <c r="CI308" s="50" t="s">
        <v>287</v>
      </c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</row>
    <row r="309" spans="1:97" ht="36.75" customHeight="1" thickBot="1">
      <c r="A309" s="49">
        <v>46101.600555555553</v>
      </c>
      <c r="B309" s="50" t="s">
        <v>39</v>
      </c>
      <c r="C309" s="50" t="s">
        <v>45</v>
      </c>
      <c r="D309" s="50" t="s">
        <v>369</v>
      </c>
      <c r="E309" s="50" t="s">
        <v>53</v>
      </c>
      <c r="F309" s="50" t="s">
        <v>286</v>
      </c>
      <c r="G309" s="50" t="s">
        <v>73</v>
      </c>
      <c r="H309" s="50" t="s">
        <v>309</v>
      </c>
      <c r="I309" s="50" t="s">
        <v>91</v>
      </c>
      <c r="J309" s="50" t="s">
        <v>286</v>
      </c>
      <c r="K309" s="50" t="s">
        <v>291</v>
      </c>
      <c r="L309" s="50" t="s">
        <v>286</v>
      </c>
      <c r="M309" s="50" t="s">
        <v>370</v>
      </c>
      <c r="N309" s="111">
        <v>5</v>
      </c>
      <c r="O309" s="111">
        <v>5</v>
      </c>
      <c r="P309" s="111">
        <v>5</v>
      </c>
      <c r="Q309" s="111">
        <v>5</v>
      </c>
      <c r="R309" s="111">
        <v>6</v>
      </c>
      <c r="S309" s="111">
        <v>6</v>
      </c>
      <c r="T309" s="111">
        <v>4</v>
      </c>
      <c r="U309" s="111">
        <v>5</v>
      </c>
      <c r="V309" s="111">
        <v>6</v>
      </c>
      <c r="W309" s="111">
        <v>6</v>
      </c>
      <c r="X309" s="111">
        <v>6</v>
      </c>
      <c r="Y309" s="111">
        <v>6</v>
      </c>
      <c r="Z309" s="111">
        <v>6</v>
      </c>
      <c r="AA309" s="111">
        <v>6</v>
      </c>
      <c r="AB309" s="111">
        <v>6</v>
      </c>
      <c r="AC309" s="111">
        <v>5</v>
      </c>
      <c r="AD309" s="111">
        <v>5</v>
      </c>
      <c r="AE309" s="111">
        <v>5</v>
      </c>
      <c r="AF309" s="111">
        <v>5</v>
      </c>
      <c r="AG309" s="111">
        <v>5</v>
      </c>
      <c r="AH309" s="111">
        <v>5</v>
      </c>
      <c r="AI309" s="111">
        <v>5</v>
      </c>
      <c r="AJ309" s="111">
        <v>5</v>
      </c>
      <c r="AK309" s="111">
        <v>5</v>
      </c>
      <c r="AL309" s="111">
        <v>5</v>
      </c>
      <c r="AM309" s="111">
        <v>5</v>
      </c>
      <c r="AN309" s="111">
        <v>5</v>
      </c>
      <c r="AO309" s="111">
        <v>5</v>
      </c>
      <c r="AP309" s="111">
        <v>5</v>
      </c>
      <c r="AQ309" s="111">
        <v>6</v>
      </c>
      <c r="AR309" s="111">
        <v>5</v>
      </c>
      <c r="AS309" s="111">
        <v>5</v>
      </c>
      <c r="AT309" s="111">
        <v>5</v>
      </c>
      <c r="AU309" s="111">
        <v>5</v>
      </c>
      <c r="AV309" s="50" t="s">
        <v>202</v>
      </c>
      <c r="AW309" s="50" t="s">
        <v>202</v>
      </c>
      <c r="AX309" s="50" t="s">
        <v>200</v>
      </c>
      <c r="AY309" s="50" t="s">
        <v>199</v>
      </c>
      <c r="AZ309" s="50" t="s">
        <v>201</v>
      </c>
      <c r="BA309" s="50" t="s">
        <v>199</v>
      </c>
      <c r="BB309" s="50" t="s">
        <v>202</v>
      </c>
      <c r="BC309" s="50" t="s">
        <v>202</v>
      </c>
      <c r="BD309" s="50" t="s">
        <v>202</v>
      </c>
      <c r="BE309" s="50" t="s">
        <v>202</v>
      </c>
      <c r="BF309" s="50" t="s">
        <v>200</v>
      </c>
      <c r="BG309" s="50" t="s">
        <v>202</v>
      </c>
      <c r="BH309" s="50" t="s">
        <v>201</v>
      </c>
      <c r="BI309" s="50" t="s">
        <v>202</v>
      </c>
      <c r="BJ309" s="50" t="s">
        <v>202</v>
      </c>
      <c r="BK309" s="50" t="s">
        <v>202</v>
      </c>
      <c r="BL309" s="50" t="s">
        <v>202</v>
      </c>
      <c r="BM309" s="50" t="s">
        <v>436</v>
      </c>
      <c r="BN309" s="50" t="s">
        <v>318</v>
      </c>
      <c r="BO309" s="50" t="s">
        <v>91</v>
      </c>
      <c r="BP309" s="50" t="s">
        <v>286</v>
      </c>
      <c r="BQ309" s="50" t="s">
        <v>287</v>
      </c>
      <c r="BR309" s="50" t="s">
        <v>448</v>
      </c>
      <c r="BS309" s="111">
        <v>5</v>
      </c>
      <c r="BT309" s="50" t="s">
        <v>286</v>
      </c>
      <c r="BU309" s="50" t="s">
        <v>348</v>
      </c>
      <c r="BV309" s="50" t="s">
        <v>288</v>
      </c>
      <c r="BW309" s="50" t="s">
        <v>350</v>
      </c>
      <c r="BX309" s="50" t="s">
        <v>387</v>
      </c>
      <c r="BY309" s="50" t="s">
        <v>288</v>
      </c>
      <c r="BZ309" s="50" t="s">
        <v>287</v>
      </c>
      <c r="CA309" s="50"/>
      <c r="CB309" s="50" t="s">
        <v>287</v>
      </c>
      <c r="CC309" s="50" t="s">
        <v>287</v>
      </c>
      <c r="CD309" s="50" t="s">
        <v>287</v>
      </c>
      <c r="CE309" s="50"/>
      <c r="CF309" s="50" t="s">
        <v>287</v>
      </c>
      <c r="CG309" s="50" t="s">
        <v>287</v>
      </c>
      <c r="CH309" s="50" t="s">
        <v>486</v>
      </c>
      <c r="CI309" s="50" t="s">
        <v>287</v>
      </c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</row>
    <row r="310" spans="1:97" ht="36.75" customHeight="1" thickBot="1">
      <c r="A310" s="49">
        <v>46101.608599537038</v>
      </c>
      <c r="B310" s="50" t="s">
        <v>39</v>
      </c>
      <c r="C310" s="50" t="s">
        <v>45</v>
      </c>
      <c r="D310" s="50" t="s">
        <v>374</v>
      </c>
      <c r="E310" s="50" t="s">
        <v>61</v>
      </c>
      <c r="F310" s="50" t="s">
        <v>286</v>
      </c>
      <c r="G310" s="50" t="s">
        <v>73</v>
      </c>
      <c r="H310" s="50" t="s">
        <v>458</v>
      </c>
      <c r="I310" s="50" t="s">
        <v>91</v>
      </c>
      <c r="J310" s="50" t="s">
        <v>286</v>
      </c>
      <c r="K310" s="50" t="s">
        <v>291</v>
      </c>
      <c r="L310" s="50" t="s">
        <v>286</v>
      </c>
      <c r="M310" s="50" t="s">
        <v>370</v>
      </c>
      <c r="N310" s="111">
        <v>5</v>
      </c>
      <c r="O310" s="111">
        <v>5</v>
      </c>
      <c r="P310" s="111">
        <v>5</v>
      </c>
      <c r="Q310" s="111">
        <v>5</v>
      </c>
      <c r="R310" s="111">
        <v>5</v>
      </c>
      <c r="S310" s="111">
        <v>6</v>
      </c>
      <c r="T310" s="111">
        <v>5</v>
      </c>
      <c r="U310" s="111">
        <v>5</v>
      </c>
      <c r="V310" s="111">
        <v>6</v>
      </c>
      <c r="W310" s="111">
        <v>6</v>
      </c>
      <c r="X310" s="111">
        <v>6</v>
      </c>
      <c r="Y310" s="111">
        <v>6</v>
      </c>
      <c r="Z310" s="111">
        <v>6</v>
      </c>
      <c r="AA310" s="111">
        <v>6</v>
      </c>
      <c r="AB310" s="111">
        <v>6</v>
      </c>
      <c r="AC310" s="111">
        <v>5</v>
      </c>
      <c r="AD310" s="111">
        <v>5</v>
      </c>
      <c r="AE310" s="111">
        <v>5</v>
      </c>
      <c r="AF310" s="111">
        <v>5</v>
      </c>
      <c r="AG310" s="111">
        <v>5</v>
      </c>
      <c r="AH310" s="111">
        <v>5</v>
      </c>
      <c r="AI310" s="111">
        <v>5</v>
      </c>
      <c r="AJ310" s="111">
        <v>5</v>
      </c>
      <c r="AK310" s="111">
        <v>5</v>
      </c>
      <c r="AL310" s="111">
        <v>5</v>
      </c>
      <c r="AM310" s="111">
        <v>5</v>
      </c>
      <c r="AN310" s="111">
        <v>5</v>
      </c>
      <c r="AO310" s="111">
        <v>5</v>
      </c>
      <c r="AP310" s="111">
        <v>5</v>
      </c>
      <c r="AQ310" s="111">
        <v>6</v>
      </c>
      <c r="AR310" s="111">
        <v>5</v>
      </c>
      <c r="AS310" s="111">
        <v>5</v>
      </c>
      <c r="AT310" s="111">
        <v>5</v>
      </c>
      <c r="AU310" s="111">
        <v>5</v>
      </c>
      <c r="AV310" s="50" t="s">
        <v>202</v>
      </c>
      <c r="AW310" s="50" t="s">
        <v>202</v>
      </c>
      <c r="AX310" s="50" t="s">
        <v>201</v>
      </c>
      <c r="AY310" s="50" t="s">
        <v>199</v>
      </c>
      <c r="AZ310" s="50" t="s">
        <v>202</v>
      </c>
      <c r="BA310" s="50" t="s">
        <v>199</v>
      </c>
      <c r="BB310" s="50" t="s">
        <v>202</v>
      </c>
      <c r="BC310" s="50" t="s">
        <v>202</v>
      </c>
      <c r="BD310" s="50" t="s">
        <v>202</v>
      </c>
      <c r="BE310" s="50" t="s">
        <v>202</v>
      </c>
      <c r="BF310" s="50" t="s">
        <v>201</v>
      </c>
      <c r="BG310" s="50" t="s">
        <v>202</v>
      </c>
      <c r="BH310" s="50" t="s">
        <v>200</v>
      </c>
      <c r="BI310" s="50" t="s">
        <v>202</v>
      </c>
      <c r="BJ310" s="50" t="s">
        <v>202</v>
      </c>
      <c r="BK310" s="50" t="s">
        <v>202</v>
      </c>
      <c r="BL310" s="50" t="s">
        <v>202</v>
      </c>
      <c r="BM310" s="50" t="s">
        <v>436</v>
      </c>
      <c r="BN310" s="50" t="s">
        <v>318</v>
      </c>
      <c r="BO310" s="50" t="s">
        <v>91</v>
      </c>
      <c r="BP310" s="50" t="s">
        <v>286</v>
      </c>
      <c r="BQ310" s="50" t="s">
        <v>287</v>
      </c>
      <c r="BR310" s="50" t="s">
        <v>380</v>
      </c>
      <c r="BS310" s="111">
        <v>5</v>
      </c>
      <c r="BT310" s="50" t="s">
        <v>286</v>
      </c>
      <c r="BU310" s="50" t="s">
        <v>348</v>
      </c>
      <c r="BV310" s="50" t="s">
        <v>288</v>
      </c>
      <c r="BW310" s="50" t="s">
        <v>350</v>
      </c>
      <c r="BX310" s="50" t="s">
        <v>387</v>
      </c>
      <c r="BY310" s="50" t="s">
        <v>288</v>
      </c>
      <c r="BZ310" s="50" t="s">
        <v>287</v>
      </c>
      <c r="CA310" s="50"/>
      <c r="CB310" s="50" t="s">
        <v>287</v>
      </c>
      <c r="CC310" s="50" t="s">
        <v>287</v>
      </c>
      <c r="CD310" s="50" t="s">
        <v>287</v>
      </c>
      <c r="CE310" s="50"/>
      <c r="CF310" s="50" t="s">
        <v>287</v>
      </c>
      <c r="CG310" s="50" t="s">
        <v>287</v>
      </c>
      <c r="CH310" s="50" t="s">
        <v>486</v>
      </c>
      <c r="CI310" s="50" t="s">
        <v>287</v>
      </c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</row>
    <row r="311" spans="1:97" ht="36.75" customHeight="1" thickBot="1">
      <c r="A311" s="49">
        <v>46101.629583333335</v>
      </c>
      <c r="B311" s="50" t="s">
        <v>40</v>
      </c>
      <c r="C311" s="50" t="s">
        <v>45</v>
      </c>
      <c r="D311" s="50" t="s">
        <v>374</v>
      </c>
      <c r="E311" s="50" t="s">
        <v>61</v>
      </c>
      <c r="F311" s="50" t="s">
        <v>286</v>
      </c>
      <c r="G311" s="50" t="s">
        <v>73</v>
      </c>
      <c r="H311" s="50" t="s">
        <v>579</v>
      </c>
      <c r="I311" s="50" t="s">
        <v>91</v>
      </c>
      <c r="J311" s="50" t="s">
        <v>286</v>
      </c>
      <c r="K311" s="50" t="s">
        <v>287</v>
      </c>
      <c r="L311" s="50" t="s">
        <v>379</v>
      </c>
      <c r="M311" s="50" t="s">
        <v>370</v>
      </c>
      <c r="N311" s="111">
        <v>5</v>
      </c>
      <c r="O311" s="111">
        <v>5</v>
      </c>
      <c r="P311" s="111">
        <v>5</v>
      </c>
      <c r="Q311" s="111">
        <v>5</v>
      </c>
      <c r="R311" s="111">
        <v>6</v>
      </c>
      <c r="S311" s="111">
        <v>6</v>
      </c>
      <c r="T311" s="111">
        <v>5</v>
      </c>
      <c r="U311" s="111">
        <v>5</v>
      </c>
      <c r="V311" s="111">
        <v>6</v>
      </c>
      <c r="W311" s="111">
        <v>6</v>
      </c>
      <c r="X311" s="111">
        <v>6</v>
      </c>
      <c r="Y311" s="111">
        <v>6</v>
      </c>
      <c r="Z311" s="111">
        <v>6</v>
      </c>
      <c r="AA311" s="111">
        <v>6</v>
      </c>
      <c r="AB311" s="111">
        <v>6</v>
      </c>
      <c r="AC311" s="111">
        <v>5</v>
      </c>
      <c r="AD311" s="111">
        <v>5</v>
      </c>
      <c r="AE311" s="111">
        <v>5</v>
      </c>
      <c r="AF311" s="111">
        <v>5</v>
      </c>
      <c r="AG311" s="111">
        <v>5</v>
      </c>
      <c r="AH311" s="111">
        <v>5</v>
      </c>
      <c r="AI311" s="111">
        <v>5</v>
      </c>
      <c r="AJ311" s="111">
        <v>5</v>
      </c>
      <c r="AK311" s="111">
        <v>5</v>
      </c>
      <c r="AL311" s="111">
        <v>5</v>
      </c>
      <c r="AM311" s="111">
        <v>5</v>
      </c>
      <c r="AN311" s="111">
        <v>5</v>
      </c>
      <c r="AO311" s="111">
        <v>5</v>
      </c>
      <c r="AP311" s="111">
        <v>5</v>
      </c>
      <c r="AQ311" s="111">
        <v>6</v>
      </c>
      <c r="AR311" s="111">
        <v>5</v>
      </c>
      <c r="AS311" s="111">
        <v>5</v>
      </c>
      <c r="AT311" s="111">
        <v>5</v>
      </c>
      <c r="AU311" s="111">
        <v>5</v>
      </c>
      <c r="AV311" s="50" t="s">
        <v>200</v>
      </c>
      <c r="AW311" s="50" t="s">
        <v>199</v>
      </c>
      <c r="AX311" s="50" t="s">
        <v>199</v>
      </c>
      <c r="AY311" s="50" t="s">
        <v>201</v>
      </c>
      <c r="AZ311" s="50" t="s">
        <v>202</v>
      </c>
      <c r="BA311" s="50" t="s">
        <v>200</v>
      </c>
      <c r="BB311" s="50" t="s">
        <v>202</v>
      </c>
      <c r="BC311" s="50" t="s">
        <v>202</v>
      </c>
      <c r="BD311" s="50" t="s">
        <v>202</v>
      </c>
      <c r="BE311" s="50" t="s">
        <v>201</v>
      </c>
      <c r="BF311" s="50" t="s">
        <v>201</v>
      </c>
      <c r="BG311" s="50" t="s">
        <v>202</v>
      </c>
      <c r="BH311" s="50" t="s">
        <v>200</v>
      </c>
      <c r="BI311" s="50" t="s">
        <v>202</v>
      </c>
      <c r="BJ311" s="50" t="s">
        <v>202</v>
      </c>
      <c r="BK311" s="50" t="s">
        <v>202</v>
      </c>
      <c r="BL311" s="50" t="s">
        <v>202</v>
      </c>
      <c r="BM311" s="50" t="s">
        <v>436</v>
      </c>
      <c r="BN311" s="50" t="s">
        <v>479</v>
      </c>
      <c r="BO311" s="50" t="s">
        <v>91</v>
      </c>
      <c r="BP311" s="50" t="s">
        <v>286</v>
      </c>
      <c r="BQ311" s="50" t="s">
        <v>287</v>
      </c>
      <c r="BR311" s="50" t="s">
        <v>372</v>
      </c>
      <c r="BS311" s="111">
        <v>5</v>
      </c>
      <c r="BT311" s="50" t="s">
        <v>286</v>
      </c>
      <c r="BU311" s="50" t="s">
        <v>348</v>
      </c>
      <c r="BV311" s="50" t="s">
        <v>288</v>
      </c>
      <c r="BW311" s="50" t="s">
        <v>350</v>
      </c>
      <c r="BX311" s="50" t="s">
        <v>387</v>
      </c>
      <c r="BY311" s="50" t="s">
        <v>288</v>
      </c>
      <c r="BZ311" s="50" t="s">
        <v>91</v>
      </c>
      <c r="CA311" s="50"/>
      <c r="CB311" s="50" t="s">
        <v>287</v>
      </c>
      <c r="CC311" s="50" t="s">
        <v>287</v>
      </c>
      <c r="CD311" s="50" t="s">
        <v>287</v>
      </c>
      <c r="CE311" s="50"/>
      <c r="CF311" s="50" t="s">
        <v>287</v>
      </c>
      <c r="CG311" s="50" t="s">
        <v>287</v>
      </c>
      <c r="CH311" s="50" t="s">
        <v>486</v>
      </c>
      <c r="CI311" s="50" t="s">
        <v>287</v>
      </c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</row>
    <row r="312" spans="1:97" ht="36.75" customHeight="1" thickBot="1">
      <c r="A312" s="49">
        <v>46101.646874999999</v>
      </c>
      <c r="B312" s="50" t="s">
        <v>40</v>
      </c>
      <c r="C312" s="50" t="s">
        <v>46</v>
      </c>
      <c r="D312" s="50" t="s">
        <v>369</v>
      </c>
      <c r="E312" s="50" t="s">
        <v>61</v>
      </c>
      <c r="F312" s="50" t="s">
        <v>286</v>
      </c>
      <c r="G312" s="50" t="s">
        <v>74</v>
      </c>
      <c r="H312" s="50" t="s">
        <v>347</v>
      </c>
      <c r="I312" s="50" t="s">
        <v>91</v>
      </c>
      <c r="J312" s="50" t="s">
        <v>286</v>
      </c>
      <c r="K312" s="50" t="s">
        <v>291</v>
      </c>
      <c r="L312" s="50" t="s">
        <v>286</v>
      </c>
      <c r="M312" s="50" t="s">
        <v>370</v>
      </c>
      <c r="N312" s="111">
        <v>5</v>
      </c>
      <c r="O312" s="111">
        <v>5</v>
      </c>
      <c r="P312" s="111">
        <v>5</v>
      </c>
      <c r="Q312" s="111">
        <v>6</v>
      </c>
      <c r="R312" s="111">
        <v>5</v>
      </c>
      <c r="S312" s="111">
        <v>6</v>
      </c>
      <c r="T312" s="111">
        <v>5</v>
      </c>
      <c r="U312" s="111">
        <v>5</v>
      </c>
      <c r="V312" s="111">
        <v>6</v>
      </c>
      <c r="W312" s="111">
        <v>6</v>
      </c>
      <c r="X312" s="111">
        <v>6</v>
      </c>
      <c r="Y312" s="111">
        <v>6</v>
      </c>
      <c r="Z312" s="111">
        <v>6</v>
      </c>
      <c r="AA312" s="111">
        <v>6</v>
      </c>
      <c r="AB312" s="111">
        <v>6</v>
      </c>
      <c r="AC312" s="111">
        <v>5</v>
      </c>
      <c r="AD312" s="111">
        <v>5</v>
      </c>
      <c r="AE312" s="111">
        <v>5</v>
      </c>
      <c r="AF312" s="111">
        <v>5</v>
      </c>
      <c r="AG312" s="111">
        <v>5</v>
      </c>
      <c r="AH312" s="111">
        <v>5</v>
      </c>
      <c r="AI312" s="111">
        <v>5</v>
      </c>
      <c r="AJ312" s="111">
        <v>5</v>
      </c>
      <c r="AK312" s="111">
        <v>5</v>
      </c>
      <c r="AL312" s="111">
        <v>5</v>
      </c>
      <c r="AM312" s="111">
        <v>5</v>
      </c>
      <c r="AN312" s="111">
        <v>5</v>
      </c>
      <c r="AO312" s="111">
        <v>5</v>
      </c>
      <c r="AP312" s="111">
        <v>5</v>
      </c>
      <c r="AQ312" s="111">
        <v>6</v>
      </c>
      <c r="AR312" s="111">
        <v>5</v>
      </c>
      <c r="AS312" s="111">
        <v>5</v>
      </c>
      <c r="AT312" s="111">
        <v>5</v>
      </c>
      <c r="AU312" s="111">
        <v>5</v>
      </c>
      <c r="AV312" s="50" t="s">
        <v>202</v>
      </c>
      <c r="AW312" s="50" t="s">
        <v>202</v>
      </c>
      <c r="AX312" s="50" t="s">
        <v>201</v>
      </c>
      <c r="AY312" s="50" t="s">
        <v>199</v>
      </c>
      <c r="AZ312" s="50" t="s">
        <v>202</v>
      </c>
      <c r="BA312" s="50" t="s">
        <v>199</v>
      </c>
      <c r="BB312" s="50" t="s">
        <v>202</v>
      </c>
      <c r="BC312" s="50" t="s">
        <v>202</v>
      </c>
      <c r="BD312" s="50" t="s">
        <v>202</v>
      </c>
      <c r="BE312" s="50" t="s">
        <v>202</v>
      </c>
      <c r="BF312" s="50" t="s">
        <v>201</v>
      </c>
      <c r="BG312" s="50" t="s">
        <v>202</v>
      </c>
      <c r="BH312" s="50" t="s">
        <v>200</v>
      </c>
      <c r="BI312" s="50" t="s">
        <v>202</v>
      </c>
      <c r="BJ312" s="50" t="s">
        <v>202</v>
      </c>
      <c r="BK312" s="50" t="s">
        <v>202</v>
      </c>
      <c r="BL312" s="50" t="s">
        <v>202</v>
      </c>
      <c r="BM312" s="50" t="s">
        <v>436</v>
      </c>
      <c r="BN312" s="50" t="s">
        <v>399</v>
      </c>
      <c r="BO312" s="50" t="s">
        <v>91</v>
      </c>
      <c r="BP312" s="50" t="s">
        <v>286</v>
      </c>
      <c r="BQ312" s="50" t="s">
        <v>287</v>
      </c>
      <c r="BR312" s="50" t="s">
        <v>372</v>
      </c>
      <c r="BS312" s="111">
        <v>5</v>
      </c>
      <c r="BT312" s="50" t="s">
        <v>286</v>
      </c>
      <c r="BU312" s="50" t="s">
        <v>348</v>
      </c>
      <c r="BV312" s="50" t="s">
        <v>288</v>
      </c>
      <c r="BW312" s="50" t="s">
        <v>350</v>
      </c>
      <c r="BX312" s="50" t="s">
        <v>387</v>
      </c>
      <c r="BY312" s="50" t="s">
        <v>288</v>
      </c>
      <c r="BZ312" s="50" t="s">
        <v>287</v>
      </c>
      <c r="CA312" s="50"/>
      <c r="CB312" s="50" t="s">
        <v>287</v>
      </c>
      <c r="CC312" s="50" t="s">
        <v>287</v>
      </c>
      <c r="CD312" s="50" t="s">
        <v>287</v>
      </c>
      <c r="CE312" s="50"/>
      <c r="CF312" s="50" t="s">
        <v>287</v>
      </c>
      <c r="CG312" s="50" t="s">
        <v>287</v>
      </c>
      <c r="CH312" s="50" t="s">
        <v>486</v>
      </c>
      <c r="CI312" s="50" t="s">
        <v>287</v>
      </c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</row>
    <row r="313" spans="1:97" ht="36.75" customHeight="1" thickBot="1">
      <c r="A313" s="49">
        <v>46105.315740740742</v>
      </c>
      <c r="B313" s="50" t="s">
        <v>40</v>
      </c>
      <c r="C313" s="50" t="s">
        <v>46</v>
      </c>
      <c r="D313" s="50" t="s">
        <v>374</v>
      </c>
      <c r="E313" s="50" t="s">
        <v>63</v>
      </c>
      <c r="F313" s="50" t="s">
        <v>286</v>
      </c>
      <c r="G313" s="50" t="s">
        <v>73</v>
      </c>
      <c r="H313" s="50" t="s">
        <v>445</v>
      </c>
      <c r="I313" s="50" t="s">
        <v>81</v>
      </c>
      <c r="J313" s="50" t="s">
        <v>286</v>
      </c>
      <c r="K313" s="50" t="s">
        <v>287</v>
      </c>
      <c r="L313" s="50" t="s">
        <v>379</v>
      </c>
      <c r="M313" s="50" t="s">
        <v>370</v>
      </c>
      <c r="N313" s="111">
        <v>5</v>
      </c>
      <c r="O313" s="111">
        <v>5</v>
      </c>
      <c r="P313" s="111">
        <v>5</v>
      </c>
      <c r="Q313" s="111">
        <v>5</v>
      </c>
      <c r="R313" s="111">
        <v>5</v>
      </c>
      <c r="S313" s="111">
        <v>5</v>
      </c>
      <c r="T313" s="111">
        <v>5</v>
      </c>
      <c r="U313" s="111">
        <v>5</v>
      </c>
      <c r="V313" s="111">
        <v>6</v>
      </c>
      <c r="W313" s="111">
        <v>6</v>
      </c>
      <c r="X313" s="111">
        <v>6</v>
      </c>
      <c r="Y313" s="111">
        <v>6</v>
      </c>
      <c r="Z313" s="111">
        <v>6</v>
      </c>
      <c r="AA313" s="111">
        <v>6</v>
      </c>
      <c r="AB313" s="111">
        <v>6</v>
      </c>
      <c r="AC313" s="111">
        <v>5</v>
      </c>
      <c r="AD313" s="111">
        <v>5</v>
      </c>
      <c r="AE313" s="111">
        <v>5</v>
      </c>
      <c r="AF313" s="111">
        <v>5</v>
      </c>
      <c r="AG313" s="111">
        <v>5</v>
      </c>
      <c r="AH313" s="111">
        <v>5</v>
      </c>
      <c r="AI313" s="111">
        <v>5</v>
      </c>
      <c r="AJ313" s="111">
        <v>5</v>
      </c>
      <c r="AK313" s="111">
        <v>5</v>
      </c>
      <c r="AL313" s="111">
        <v>5</v>
      </c>
      <c r="AM313" s="111">
        <v>5</v>
      </c>
      <c r="AN313" s="111">
        <v>5</v>
      </c>
      <c r="AO313" s="111">
        <v>5</v>
      </c>
      <c r="AP313" s="111">
        <v>5</v>
      </c>
      <c r="AQ313" s="111">
        <v>6</v>
      </c>
      <c r="AR313" s="111">
        <v>5</v>
      </c>
      <c r="AS313" s="111">
        <v>5</v>
      </c>
      <c r="AT313" s="111">
        <v>5</v>
      </c>
      <c r="AU313" s="111">
        <v>5</v>
      </c>
      <c r="AV313" s="50" t="s">
        <v>200</v>
      </c>
      <c r="AW313" s="50" t="s">
        <v>200</v>
      </c>
      <c r="AX313" s="50" t="s">
        <v>201</v>
      </c>
      <c r="AY313" s="50" t="s">
        <v>199</v>
      </c>
      <c r="AZ313" s="50" t="s">
        <v>202</v>
      </c>
      <c r="BA313" s="50" t="s">
        <v>202</v>
      </c>
      <c r="BB313" s="50" t="s">
        <v>202</v>
      </c>
      <c r="BC313" s="50" t="s">
        <v>202</v>
      </c>
      <c r="BD313" s="50" t="s">
        <v>202</v>
      </c>
      <c r="BE313" s="50" t="s">
        <v>202</v>
      </c>
      <c r="BF313" s="50" t="s">
        <v>201</v>
      </c>
      <c r="BG313" s="50" t="s">
        <v>202</v>
      </c>
      <c r="BH313" s="50" t="s">
        <v>200</v>
      </c>
      <c r="BI313" s="50" t="s">
        <v>202</v>
      </c>
      <c r="BJ313" s="50" t="s">
        <v>202</v>
      </c>
      <c r="BK313" s="50" t="s">
        <v>202</v>
      </c>
      <c r="BL313" s="50" t="s">
        <v>202</v>
      </c>
      <c r="BM313" s="50" t="s">
        <v>436</v>
      </c>
      <c r="BN313" s="50" t="s">
        <v>318</v>
      </c>
      <c r="BO313" s="50" t="s">
        <v>91</v>
      </c>
      <c r="BP313" s="50" t="s">
        <v>286</v>
      </c>
      <c r="BQ313" s="50" t="s">
        <v>287</v>
      </c>
      <c r="BR313" s="50" t="s">
        <v>372</v>
      </c>
      <c r="BS313" s="111">
        <v>5</v>
      </c>
      <c r="BT313" s="50" t="s">
        <v>286</v>
      </c>
      <c r="BU313" s="50" t="s">
        <v>348</v>
      </c>
      <c r="BV313" s="50" t="s">
        <v>288</v>
      </c>
      <c r="BW313" s="50" t="s">
        <v>350</v>
      </c>
      <c r="BX313" s="50" t="s">
        <v>387</v>
      </c>
      <c r="BY313" s="50" t="s">
        <v>288</v>
      </c>
      <c r="BZ313" s="50" t="s">
        <v>287</v>
      </c>
      <c r="CA313" s="50"/>
      <c r="CB313" s="50" t="s">
        <v>287</v>
      </c>
      <c r="CC313" s="50" t="s">
        <v>287</v>
      </c>
      <c r="CD313" s="50" t="s">
        <v>287</v>
      </c>
      <c r="CE313" s="50"/>
      <c r="CF313" s="50" t="s">
        <v>287</v>
      </c>
      <c r="CG313" s="50" t="s">
        <v>287</v>
      </c>
      <c r="CH313" s="50" t="s">
        <v>486</v>
      </c>
      <c r="CI313" s="50" t="s">
        <v>287</v>
      </c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</row>
    <row r="314" spans="1:97" ht="36.75" customHeight="1" thickBot="1">
      <c r="A314" s="49">
        <v>46105.325671296298</v>
      </c>
      <c r="B314" s="50" t="s">
        <v>38</v>
      </c>
      <c r="C314" s="50" t="s">
        <v>45</v>
      </c>
      <c r="D314" s="50" t="s">
        <v>374</v>
      </c>
      <c r="E314" s="50" t="s">
        <v>63</v>
      </c>
      <c r="F314" s="50" t="s">
        <v>286</v>
      </c>
      <c r="G314" s="50" t="s">
        <v>73</v>
      </c>
      <c r="H314" s="50" t="s">
        <v>354</v>
      </c>
      <c r="I314" s="50" t="s">
        <v>91</v>
      </c>
      <c r="J314" s="50" t="s">
        <v>286</v>
      </c>
      <c r="K314" s="50" t="s">
        <v>287</v>
      </c>
      <c r="L314" s="50" t="s">
        <v>286</v>
      </c>
      <c r="M314" s="50" t="s">
        <v>370</v>
      </c>
      <c r="N314" s="111">
        <v>5</v>
      </c>
      <c r="O314" s="111">
        <v>5</v>
      </c>
      <c r="P314" s="111">
        <v>5</v>
      </c>
      <c r="Q314" s="111">
        <v>5</v>
      </c>
      <c r="R314" s="111">
        <v>5</v>
      </c>
      <c r="S314" s="111">
        <v>6</v>
      </c>
      <c r="T314" s="111">
        <v>5</v>
      </c>
      <c r="U314" s="111">
        <v>5</v>
      </c>
      <c r="V314" s="111">
        <v>6</v>
      </c>
      <c r="W314" s="111">
        <v>6</v>
      </c>
      <c r="X314" s="111">
        <v>6</v>
      </c>
      <c r="Y314" s="111">
        <v>6</v>
      </c>
      <c r="Z314" s="111">
        <v>6</v>
      </c>
      <c r="AA314" s="111">
        <v>6</v>
      </c>
      <c r="AB314" s="111">
        <v>6</v>
      </c>
      <c r="AC314" s="111">
        <v>5</v>
      </c>
      <c r="AD314" s="111">
        <v>5</v>
      </c>
      <c r="AE314" s="111">
        <v>5</v>
      </c>
      <c r="AF314" s="111">
        <v>5</v>
      </c>
      <c r="AG314" s="111">
        <v>5</v>
      </c>
      <c r="AH314" s="111">
        <v>5</v>
      </c>
      <c r="AI314" s="111">
        <v>5</v>
      </c>
      <c r="AJ314" s="111">
        <v>5</v>
      </c>
      <c r="AK314" s="111">
        <v>5</v>
      </c>
      <c r="AL314" s="111">
        <v>5</v>
      </c>
      <c r="AM314" s="111">
        <v>5</v>
      </c>
      <c r="AN314" s="111">
        <v>5</v>
      </c>
      <c r="AO314" s="111">
        <v>5</v>
      </c>
      <c r="AP314" s="111">
        <v>5</v>
      </c>
      <c r="AQ314" s="111">
        <v>6</v>
      </c>
      <c r="AR314" s="111">
        <v>5</v>
      </c>
      <c r="AS314" s="111">
        <v>5</v>
      </c>
      <c r="AT314" s="111">
        <v>5</v>
      </c>
      <c r="AU314" s="111">
        <v>5</v>
      </c>
      <c r="AV314" s="50" t="s">
        <v>202</v>
      </c>
      <c r="AW314" s="50" t="s">
        <v>202</v>
      </c>
      <c r="AX314" s="50" t="s">
        <v>201</v>
      </c>
      <c r="AY314" s="50" t="s">
        <v>199</v>
      </c>
      <c r="AZ314" s="50" t="s">
        <v>202</v>
      </c>
      <c r="BA314" s="50" t="s">
        <v>199</v>
      </c>
      <c r="BB314" s="50" t="s">
        <v>202</v>
      </c>
      <c r="BC314" s="50" t="s">
        <v>202</v>
      </c>
      <c r="BD314" s="50" t="s">
        <v>202</v>
      </c>
      <c r="BE314" s="50" t="s">
        <v>202</v>
      </c>
      <c r="BF314" s="50" t="s">
        <v>202</v>
      </c>
      <c r="BG314" s="50" t="s">
        <v>202</v>
      </c>
      <c r="BH314" s="50" t="s">
        <v>200</v>
      </c>
      <c r="BI314" s="50" t="s">
        <v>202</v>
      </c>
      <c r="BJ314" s="50" t="s">
        <v>202</v>
      </c>
      <c r="BK314" s="50" t="s">
        <v>202</v>
      </c>
      <c r="BL314" s="50" t="s">
        <v>202</v>
      </c>
      <c r="BM314" s="50" t="s">
        <v>436</v>
      </c>
      <c r="BN314" s="50" t="s">
        <v>318</v>
      </c>
      <c r="BO314" s="50" t="s">
        <v>91</v>
      </c>
      <c r="BP314" s="50" t="s">
        <v>286</v>
      </c>
      <c r="BQ314" s="50" t="s">
        <v>287</v>
      </c>
      <c r="BR314" s="50" t="s">
        <v>372</v>
      </c>
      <c r="BS314" s="111">
        <v>5</v>
      </c>
      <c r="BT314" s="50" t="s">
        <v>286</v>
      </c>
      <c r="BU314" s="50" t="s">
        <v>348</v>
      </c>
      <c r="BV314" s="50" t="s">
        <v>288</v>
      </c>
      <c r="BW314" s="50" t="s">
        <v>350</v>
      </c>
      <c r="BX314" s="50" t="s">
        <v>387</v>
      </c>
      <c r="BY314" s="50" t="s">
        <v>288</v>
      </c>
      <c r="BZ314" s="50" t="s">
        <v>287</v>
      </c>
      <c r="CA314" s="50"/>
      <c r="CB314" s="50" t="s">
        <v>287</v>
      </c>
      <c r="CC314" s="50" t="s">
        <v>287</v>
      </c>
      <c r="CD314" s="50" t="s">
        <v>287</v>
      </c>
      <c r="CE314" s="50"/>
      <c r="CF314" s="50" t="s">
        <v>287</v>
      </c>
      <c r="CG314" s="50" t="s">
        <v>287</v>
      </c>
      <c r="CH314" s="50" t="s">
        <v>486</v>
      </c>
      <c r="CI314" s="50" t="s">
        <v>287</v>
      </c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</row>
    <row r="315" spans="1:97" ht="36.75" customHeight="1" thickBot="1">
      <c r="A315" s="49">
        <v>46105.33152777778</v>
      </c>
      <c r="B315" s="50" t="s">
        <v>39</v>
      </c>
      <c r="C315" s="50" t="s">
        <v>45</v>
      </c>
      <c r="D315" s="50" t="s">
        <v>369</v>
      </c>
      <c r="E315" s="50" t="s">
        <v>285</v>
      </c>
      <c r="F315" s="50" t="s">
        <v>286</v>
      </c>
      <c r="G315" s="50" t="s">
        <v>73</v>
      </c>
      <c r="H315" s="50" t="s">
        <v>451</v>
      </c>
      <c r="I315" s="50" t="s">
        <v>91</v>
      </c>
      <c r="J315" s="50" t="s">
        <v>286</v>
      </c>
      <c r="K315" s="50" t="s">
        <v>291</v>
      </c>
      <c r="L315" s="50" t="s">
        <v>286</v>
      </c>
      <c r="M315" s="50" t="s">
        <v>370</v>
      </c>
      <c r="N315" s="111">
        <v>5</v>
      </c>
      <c r="O315" s="111">
        <v>5</v>
      </c>
      <c r="P315" s="111">
        <v>5</v>
      </c>
      <c r="Q315" s="111">
        <v>6</v>
      </c>
      <c r="R315" s="111">
        <v>6</v>
      </c>
      <c r="S315" s="111">
        <v>6</v>
      </c>
      <c r="T315" s="111">
        <v>4</v>
      </c>
      <c r="U315" s="111">
        <v>5</v>
      </c>
      <c r="V315" s="111">
        <v>6</v>
      </c>
      <c r="W315" s="111">
        <v>6</v>
      </c>
      <c r="X315" s="111">
        <v>6</v>
      </c>
      <c r="Y315" s="111">
        <v>6</v>
      </c>
      <c r="Z315" s="111">
        <v>6</v>
      </c>
      <c r="AA315" s="111">
        <v>6</v>
      </c>
      <c r="AB315" s="111">
        <v>6</v>
      </c>
      <c r="AC315" s="111">
        <v>5</v>
      </c>
      <c r="AD315" s="111">
        <v>5</v>
      </c>
      <c r="AE315" s="111">
        <v>5</v>
      </c>
      <c r="AF315" s="111">
        <v>5</v>
      </c>
      <c r="AG315" s="111">
        <v>5</v>
      </c>
      <c r="AH315" s="111">
        <v>5</v>
      </c>
      <c r="AI315" s="111">
        <v>5</v>
      </c>
      <c r="AJ315" s="111">
        <v>5</v>
      </c>
      <c r="AK315" s="111">
        <v>5</v>
      </c>
      <c r="AL315" s="111">
        <v>5</v>
      </c>
      <c r="AM315" s="111">
        <v>5</v>
      </c>
      <c r="AN315" s="111">
        <v>5</v>
      </c>
      <c r="AO315" s="111">
        <v>5</v>
      </c>
      <c r="AP315" s="111">
        <v>5</v>
      </c>
      <c r="AQ315" s="111">
        <v>6</v>
      </c>
      <c r="AR315" s="111">
        <v>5</v>
      </c>
      <c r="AS315" s="111">
        <v>5</v>
      </c>
      <c r="AT315" s="111">
        <v>5</v>
      </c>
      <c r="AU315" s="111">
        <v>5</v>
      </c>
      <c r="AV315" s="50" t="s">
        <v>202</v>
      </c>
      <c r="AW315" s="50" t="s">
        <v>202</v>
      </c>
      <c r="AX315" s="50" t="s">
        <v>199</v>
      </c>
      <c r="AY315" s="50" t="s">
        <v>199</v>
      </c>
      <c r="AZ315" s="50" t="s">
        <v>202</v>
      </c>
      <c r="BA315" s="50" t="s">
        <v>200</v>
      </c>
      <c r="BB315" s="50" t="s">
        <v>202</v>
      </c>
      <c r="BC315" s="50" t="s">
        <v>202</v>
      </c>
      <c r="BD315" s="50" t="s">
        <v>202</v>
      </c>
      <c r="BE315" s="50" t="s">
        <v>200</v>
      </c>
      <c r="BF315" s="50" t="s">
        <v>201</v>
      </c>
      <c r="BG315" s="50" t="s">
        <v>202</v>
      </c>
      <c r="BH315" s="50" t="s">
        <v>200</v>
      </c>
      <c r="BI315" s="50" t="s">
        <v>202</v>
      </c>
      <c r="BJ315" s="50" t="s">
        <v>202</v>
      </c>
      <c r="BK315" s="50" t="s">
        <v>202</v>
      </c>
      <c r="BL315" s="50" t="s">
        <v>202</v>
      </c>
      <c r="BM315" s="50" t="s">
        <v>436</v>
      </c>
      <c r="BN315" s="50" t="s">
        <v>399</v>
      </c>
      <c r="BO315" s="50" t="s">
        <v>91</v>
      </c>
      <c r="BP315" s="50" t="s">
        <v>286</v>
      </c>
      <c r="BQ315" s="50" t="s">
        <v>287</v>
      </c>
      <c r="BR315" s="50" t="s">
        <v>372</v>
      </c>
      <c r="BS315" s="111">
        <v>5</v>
      </c>
      <c r="BT315" s="50" t="s">
        <v>286</v>
      </c>
      <c r="BU315" s="50" t="s">
        <v>348</v>
      </c>
      <c r="BV315" s="50" t="s">
        <v>288</v>
      </c>
      <c r="BW315" s="50" t="s">
        <v>350</v>
      </c>
      <c r="BX315" s="50" t="s">
        <v>387</v>
      </c>
      <c r="BY315" s="50" t="s">
        <v>288</v>
      </c>
      <c r="BZ315" s="50" t="s">
        <v>287</v>
      </c>
      <c r="CA315" s="50"/>
      <c r="CB315" s="50" t="s">
        <v>287</v>
      </c>
      <c r="CC315" s="50" t="s">
        <v>287</v>
      </c>
      <c r="CD315" s="50" t="s">
        <v>287</v>
      </c>
      <c r="CE315" s="50"/>
      <c r="CF315" s="50" t="s">
        <v>287</v>
      </c>
      <c r="CG315" s="50" t="s">
        <v>287</v>
      </c>
      <c r="CH315" s="50" t="s">
        <v>486</v>
      </c>
      <c r="CI315" s="50" t="s">
        <v>287</v>
      </c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</row>
    <row r="316" spans="1:97" ht="36.75" customHeight="1" thickBot="1">
      <c r="A316" s="49">
        <v>46105.34238425926</v>
      </c>
      <c r="B316" s="50" t="s">
        <v>40</v>
      </c>
      <c r="C316" s="50" t="s">
        <v>45</v>
      </c>
      <c r="D316" s="50" t="s">
        <v>374</v>
      </c>
      <c r="E316" s="50" t="s">
        <v>61</v>
      </c>
      <c r="F316" s="50" t="s">
        <v>286</v>
      </c>
      <c r="G316" s="50" t="s">
        <v>74</v>
      </c>
      <c r="H316" s="50" t="s">
        <v>302</v>
      </c>
      <c r="I316" s="50" t="s">
        <v>91</v>
      </c>
      <c r="J316" s="50" t="s">
        <v>286</v>
      </c>
      <c r="K316" s="50" t="s">
        <v>287</v>
      </c>
      <c r="L316" s="50" t="s">
        <v>286</v>
      </c>
      <c r="M316" s="50" t="s">
        <v>370</v>
      </c>
      <c r="N316" s="111">
        <v>5</v>
      </c>
      <c r="O316" s="111">
        <v>5</v>
      </c>
      <c r="P316" s="111">
        <v>5</v>
      </c>
      <c r="Q316" s="111">
        <v>5</v>
      </c>
      <c r="R316" s="111">
        <v>6</v>
      </c>
      <c r="S316" s="111">
        <v>6</v>
      </c>
      <c r="T316" s="111">
        <v>5</v>
      </c>
      <c r="U316" s="111">
        <v>5</v>
      </c>
      <c r="V316" s="111">
        <v>6</v>
      </c>
      <c r="W316" s="111">
        <v>6</v>
      </c>
      <c r="X316" s="111">
        <v>6</v>
      </c>
      <c r="Y316" s="111">
        <v>6</v>
      </c>
      <c r="Z316" s="111">
        <v>6</v>
      </c>
      <c r="AA316" s="111">
        <v>6</v>
      </c>
      <c r="AB316" s="111">
        <v>6</v>
      </c>
      <c r="AC316" s="111">
        <v>5</v>
      </c>
      <c r="AD316" s="111">
        <v>5</v>
      </c>
      <c r="AE316" s="111">
        <v>5</v>
      </c>
      <c r="AF316" s="111">
        <v>5</v>
      </c>
      <c r="AG316" s="111">
        <v>5</v>
      </c>
      <c r="AH316" s="111">
        <v>5</v>
      </c>
      <c r="AI316" s="111">
        <v>5</v>
      </c>
      <c r="AJ316" s="111">
        <v>5</v>
      </c>
      <c r="AK316" s="111">
        <v>5</v>
      </c>
      <c r="AL316" s="111">
        <v>5</v>
      </c>
      <c r="AM316" s="111">
        <v>5</v>
      </c>
      <c r="AN316" s="111">
        <v>5</v>
      </c>
      <c r="AO316" s="111">
        <v>5</v>
      </c>
      <c r="AP316" s="111">
        <v>5</v>
      </c>
      <c r="AQ316" s="111">
        <v>6</v>
      </c>
      <c r="AR316" s="111">
        <v>5</v>
      </c>
      <c r="AS316" s="111">
        <v>5</v>
      </c>
      <c r="AT316" s="111">
        <v>5</v>
      </c>
      <c r="AU316" s="111">
        <v>5</v>
      </c>
      <c r="AV316" s="50" t="s">
        <v>202</v>
      </c>
      <c r="AW316" s="50" t="s">
        <v>202</v>
      </c>
      <c r="AX316" s="50" t="s">
        <v>201</v>
      </c>
      <c r="AY316" s="50" t="s">
        <v>199</v>
      </c>
      <c r="AZ316" s="50" t="s">
        <v>202</v>
      </c>
      <c r="BA316" s="50" t="s">
        <v>199</v>
      </c>
      <c r="BB316" s="50" t="s">
        <v>202</v>
      </c>
      <c r="BC316" s="50" t="s">
        <v>202</v>
      </c>
      <c r="BD316" s="50" t="s">
        <v>202</v>
      </c>
      <c r="BE316" s="50" t="s">
        <v>201</v>
      </c>
      <c r="BF316" s="50" t="s">
        <v>201</v>
      </c>
      <c r="BG316" s="50" t="s">
        <v>202</v>
      </c>
      <c r="BH316" s="50" t="s">
        <v>200</v>
      </c>
      <c r="BI316" s="50" t="s">
        <v>202</v>
      </c>
      <c r="BJ316" s="50" t="s">
        <v>202</v>
      </c>
      <c r="BK316" s="50" t="s">
        <v>202</v>
      </c>
      <c r="BL316" s="50" t="s">
        <v>202</v>
      </c>
      <c r="BM316" s="50" t="s">
        <v>436</v>
      </c>
      <c r="BN316" s="50" t="s">
        <v>480</v>
      </c>
      <c r="BO316" s="50" t="s">
        <v>91</v>
      </c>
      <c r="BP316" s="50" t="s">
        <v>286</v>
      </c>
      <c r="BQ316" s="50" t="s">
        <v>287</v>
      </c>
      <c r="BR316" s="50" t="s">
        <v>372</v>
      </c>
      <c r="BS316" s="111">
        <v>5</v>
      </c>
      <c r="BT316" s="50" t="s">
        <v>286</v>
      </c>
      <c r="BU316" s="50" t="s">
        <v>348</v>
      </c>
      <c r="BV316" s="50" t="s">
        <v>288</v>
      </c>
      <c r="BW316" s="50" t="s">
        <v>350</v>
      </c>
      <c r="BX316" s="50" t="s">
        <v>387</v>
      </c>
      <c r="BY316" s="50" t="s">
        <v>288</v>
      </c>
      <c r="BZ316" s="50" t="s">
        <v>287</v>
      </c>
      <c r="CA316" s="50"/>
      <c r="CB316" s="50" t="s">
        <v>287</v>
      </c>
      <c r="CC316" s="50" t="s">
        <v>287</v>
      </c>
      <c r="CD316" s="50" t="s">
        <v>287</v>
      </c>
      <c r="CE316" s="50"/>
      <c r="CF316" s="50" t="s">
        <v>287</v>
      </c>
      <c r="CG316" s="50" t="s">
        <v>287</v>
      </c>
      <c r="CH316" s="50" t="s">
        <v>486</v>
      </c>
      <c r="CI316" s="50" t="s">
        <v>287</v>
      </c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</row>
    <row r="317" spans="1:97" ht="36.75" customHeight="1" thickBot="1">
      <c r="A317" s="49">
        <v>46105.54824074074</v>
      </c>
      <c r="B317" s="50" t="s">
        <v>39</v>
      </c>
      <c r="C317" s="50" t="s">
        <v>45</v>
      </c>
      <c r="D317" s="50" t="s">
        <v>374</v>
      </c>
      <c r="E317" s="50" t="s">
        <v>61</v>
      </c>
      <c r="F317" s="50" t="s">
        <v>286</v>
      </c>
      <c r="G317" s="50" t="s">
        <v>74</v>
      </c>
      <c r="H317" s="50" t="s">
        <v>302</v>
      </c>
      <c r="I317" s="50" t="s">
        <v>91</v>
      </c>
      <c r="J317" s="50" t="s">
        <v>286</v>
      </c>
      <c r="K317" s="50" t="s">
        <v>291</v>
      </c>
      <c r="L317" s="50" t="s">
        <v>286</v>
      </c>
      <c r="M317" s="50" t="s">
        <v>370</v>
      </c>
      <c r="N317" s="111">
        <v>4</v>
      </c>
      <c r="O317" s="111">
        <v>4</v>
      </c>
      <c r="P317" s="111">
        <v>5</v>
      </c>
      <c r="Q317" s="111">
        <v>4</v>
      </c>
      <c r="R317" s="111">
        <v>6</v>
      </c>
      <c r="S317" s="111">
        <v>6</v>
      </c>
      <c r="T317" s="111">
        <v>4</v>
      </c>
      <c r="U317" s="111">
        <v>4</v>
      </c>
      <c r="V317" s="111">
        <v>6</v>
      </c>
      <c r="W317" s="111">
        <v>6</v>
      </c>
      <c r="X317" s="111">
        <v>6</v>
      </c>
      <c r="Y317" s="111">
        <v>6</v>
      </c>
      <c r="Z317" s="111">
        <v>6</v>
      </c>
      <c r="AA317" s="111">
        <v>6</v>
      </c>
      <c r="AB317" s="111">
        <v>6</v>
      </c>
      <c r="AC317" s="111">
        <v>4</v>
      </c>
      <c r="AD317" s="111">
        <v>4</v>
      </c>
      <c r="AE317" s="111">
        <v>4</v>
      </c>
      <c r="AF317" s="111">
        <v>4</v>
      </c>
      <c r="AG317" s="111">
        <v>4</v>
      </c>
      <c r="AH317" s="111">
        <v>4</v>
      </c>
      <c r="AI317" s="111">
        <v>4</v>
      </c>
      <c r="AJ317" s="111">
        <v>4</v>
      </c>
      <c r="AK317" s="111">
        <v>5</v>
      </c>
      <c r="AL317" s="111">
        <v>5</v>
      </c>
      <c r="AM317" s="111">
        <v>5</v>
      </c>
      <c r="AN317" s="111">
        <v>5</v>
      </c>
      <c r="AO317" s="111">
        <v>5</v>
      </c>
      <c r="AP317" s="111">
        <v>5</v>
      </c>
      <c r="AQ317" s="111">
        <v>6</v>
      </c>
      <c r="AR317" s="111">
        <v>5</v>
      </c>
      <c r="AS317" s="111">
        <v>5</v>
      </c>
      <c r="AT317" s="111">
        <v>5</v>
      </c>
      <c r="AU317" s="111">
        <v>5</v>
      </c>
      <c r="AV317" s="50" t="s">
        <v>200</v>
      </c>
      <c r="AW317" s="50" t="s">
        <v>201</v>
      </c>
      <c r="AX317" s="50" t="s">
        <v>201</v>
      </c>
      <c r="AY317" s="50" t="s">
        <v>199</v>
      </c>
      <c r="AZ317" s="50" t="s">
        <v>202</v>
      </c>
      <c r="BA317" s="50" t="s">
        <v>200</v>
      </c>
      <c r="BB317" s="50" t="s">
        <v>202</v>
      </c>
      <c r="BC317" s="50" t="s">
        <v>202</v>
      </c>
      <c r="BD317" s="50" t="s">
        <v>202</v>
      </c>
      <c r="BE317" s="50" t="s">
        <v>201</v>
      </c>
      <c r="BF317" s="50" t="s">
        <v>201</v>
      </c>
      <c r="BG317" s="50" t="s">
        <v>202</v>
      </c>
      <c r="BH317" s="50" t="s">
        <v>200</v>
      </c>
      <c r="BI317" s="50" t="s">
        <v>202</v>
      </c>
      <c r="BJ317" s="50" t="s">
        <v>202</v>
      </c>
      <c r="BK317" s="50" t="s">
        <v>202</v>
      </c>
      <c r="BL317" s="50" t="s">
        <v>202</v>
      </c>
      <c r="BM317" s="50" t="s">
        <v>436</v>
      </c>
      <c r="BN317" s="50" t="s">
        <v>580</v>
      </c>
      <c r="BO317" s="50" t="s">
        <v>91</v>
      </c>
      <c r="BP317" s="50" t="s">
        <v>286</v>
      </c>
      <c r="BQ317" s="50" t="s">
        <v>287</v>
      </c>
      <c r="BR317" s="50" t="s">
        <v>386</v>
      </c>
      <c r="BS317" s="111">
        <v>5</v>
      </c>
      <c r="BT317" s="50" t="s">
        <v>286</v>
      </c>
      <c r="BU317" s="50" t="s">
        <v>348</v>
      </c>
      <c r="BV317" s="50" t="s">
        <v>288</v>
      </c>
      <c r="BW317" s="50" t="s">
        <v>350</v>
      </c>
      <c r="BX317" s="50" t="s">
        <v>387</v>
      </c>
      <c r="BY317" s="50" t="s">
        <v>288</v>
      </c>
      <c r="BZ317" s="50" t="s">
        <v>287</v>
      </c>
      <c r="CA317" s="50"/>
      <c r="CB317" s="50" t="s">
        <v>287</v>
      </c>
      <c r="CC317" s="50" t="s">
        <v>287</v>
      </c>
      <c r="CD317" s="50" t="s">
        <v>287</v>
      </c>
      <c r="CE317" s="50"/>
      <c r="CF317" s="50" t="s">
        <v>287</v>
      </c>
      <c r="CG317" s="50" t="s">
        <v>287</v>
      </c>
      <c r="CH317" s="50" t="s">
        <v>486</v>
      </c>
      <c r="CI317" s="50" t="s">
        <v>287</v>
      </c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</row>
    <row r="318" spans="1:97" ht="36.75" customHeight="1" thickBot="1">
      <c r="A318" s="49">
        <v>46105.57744212963</v>
      </c>
      <c r="B318" s="50" t="s">
        <v>40</v>
      </c>
      <c r="C318" s="50" t="s">
        <v>45</v>
      </c>
      <c r="D318" s="50" t="s">
        <v>374</v>
      </c>
      <c r="E318" s="50" t="s">
        <v>61</v>
      </c>
      <c r="F318" s="50" t="s">
        <v>286</v>
      </c>
      <c r="G318" s="50" t="s">
        <v>73</v>
      </c>
      <c r="H318" s="50" t="s">
        <v>309</v>
      </c>
      <c r="I318" s="50" t="s">
        <v>91</v>
      </c>
      <c r="J318" s="50" t="s">
        <v>286</v>
      </c>
      <c r="K318" s="50" t="s">
        <v>291</v>
      </c>
      <c r="L318" s="50" t="s">
        <v>286</v>
      </c>
      <c r="M318" s="50" t="s">
        <v>370</v>
      </c>
      <c r="N318" s="111">
        <v>5</v>
      </c>
      <c r="O318" s="111">
        <v>5</v>
      </c>
      <c r="P318" s="111">
        <v>5</v>
      </c>
      <c r="Q318" s="111">
        <v>5</v>
      </c>
      <c r="R318" s="111">
        <v>6</v>
      </c>
      <c r="S318" s="111">
        <v>6</v>
      </c>
      <c r="T318" s="111">
        <v>5</v>
      </c>
      <c r="U318" s="111">
        <v>5</v>
      </c>
      <c r="V318" s="111">
        <v>6</v>
      </c>
      <c r="W318" s="111">
        <v>6</v>
      </c>
      <c r="X318" s="111">
        <v>6</v>
      </c>
      <c r="Y318" s="111">
        <v>6</v>
      </c>
      <c r="Z318" s="111">
        <v>6</v>
      </c>
      <c r="AA318" s="111">
        <v>6</v>
      </c>
      <c r="AB318" s="111">
        <v>6</v>
      </c>
      <c r="AC318" s="111">
        <v>5</v>
      </c>
      <c r="AD318" s="111">
        <v>5</v>
      </c>
      <c r="AE318" s="111">
        <v>5</v>
      </c>
      <c r="AF318" s="111">
        <v>5</v>
      </c>
      <c r="AG318" s="111">
        <v>5</v>
      </c>
      <c r="AH318" s="111">
        <v>5</v>
      </c>
      <c r="AI318" s="111">
        <v>5</v>
      </c>
      <c r="AJ318" s="111">
        <v>5</v>
      </c>
      <c r="AK318" s="111">
        <v>5</v>
      </c>
      <c r="AL318" s="111">
        <v>5</v>
      </c>
      <c r="AM318" s="111">
        <v>5</v>
      </c>
      <c r="AN318" s="111">
        <v>5</v>
      </c>
      <c r="AO318" s="111">
        <v>5</v>
      </c>
      <c r="AP318" s="111">
        <v>5</v>
      </c>
      <c r="AQ318" s="111">
        <v>6</v>
      </c>
      <c r="AR318" s="111">
        <v>5</v>
      </c>
      <c r="AS318" s="111">
        <v>5</v>
      </c>
      <c r="AT318" s="111">
        <v>5</v>
      </c>
      <c r="AU318" s="111">
        <v>5</v>
      </c>
      <c r="AV318" s="50" t="s">
        <v>202</v>
      </c>
      <c r="AW318" s="50" t="s">
        <v>202</v>
      </c>
      <c r="AX318" s="50" t="s">
        <v>201</v>
      </c>
      <c r="AY318" s="50" t="s">
        <v>199</v>
      </c>
      <c r="AZ318" s="50" t="s">
        <v>202</v>
      </c>
      <c r="BA318" s="50" t="s">
        <v>200</v>
      </c>
      <c r="BB318" s="50" t="s">
        <v>202</v>
      </c>
      <c r="BC318" s="50" t="s">
        <v>202</v>
      </c>
      <c r="BD318" s="50" t="s">
        <v>202</v>
      </c>
      <c r="BE318" s="50" t="s">
        <v>200</v>
      </c>
      <c r="BF318" s="50" t="s">
        <v>201</v>
      </c>
      <c r="BG318" s="50" t="s">
        <v>202</v>
      </c>
      <c r="BH318" s="50" t="s">
        <v>201</v>
      </c>
      <c r="BI318" s="50" t="s">
        <v>202</v>
      </c>
      <c r="BJ318" s="50" t="s">
        <v>202</v>
      </c>
      <c r="BK318" s="50" t="s">
        <v>202</v>
      </c>
      <c r="BL318" s="50" t="s">
        <v>202</v>
      </c>
      <c r="BM318" s="50" t="s">
        <v>436</v>
      </c>
      <c r="BN318" s="50" t="s">
        <v>399</v>
      </c>
      <c r="BO318" s="50" t="s">
        <v>91</v>
      </c>
      <c r="BP318" s="50" t="s">
        <v>286</v>
      </c>
      <c r="BQ318" s="50" t="s">
        <v>287</v>
      </c>
      <c r="BR318" s="50" t="s">
        <v>372</v>
      </c>
      <c r="BS318" s="111">
        <v>5</v>
      </c>
      <c r="BT318" s="50" t="s">
        <v>286</v>
      </c>
      <c r="BU318" s="50" t="s">
        <v>348</v>
      </c>
      <c r="BV318" s="50" t="s">
        <v>288</v>
      </c>
      <c r="BW318" s="50" t="s">
        <v>350</v>
      </c>
      <c r="BX318" s="50" t="s">
        <v>387</v>
      </c>
      <c r="BY318" s="50" t="s">
        <v>288</v>
      </c>
      <c r="BZ318" s="50" t="s">
        <v>287</v>
      </c>
      <c r="CA318" s="50"/>
      <c r="CB318" s="50" t="s">
        <v>287</v>
      </c>
      <c r="CC318" s="50" t="s">
        <v>287</v>
      </c>
      <c r="CD318" s="50" t="s">
        <v>287</v>
      </c>
      <c r="CE318" s="50"/>
      <c r="CF318" s="50" t="s">
        <v>287</v>
      </c>
      <c r="CG318" s="50" t="s">
        <v>287</v>
      </c>
      <c r="CH318" s="50" t="s">
        <v>486</v>
      </c>
      <c r="CI318" s="50" t="s">
        <v>287</v>
      </c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</row>
    <row r="319" spans="1:97" ht="36.75" customHeight="1" thickBot="1">
      <c r="A319" s="49">
        <v>46105.579988425925</v>
      </c>
      <c r="B319" s="50" t="s">
        <v>40</v>
      </c>
      <c r="C319" s="50" t="s">
        <v>45</v>
      </c>
      <c r="D319" s="50" t="s">
        <v>374</v>
      </c>
      <c r="E319" s="50" t="s">
        <v>61</v>
      </c>
      <c r="F319" s="50" t="s">
        <v>286</v>
      </c>
      <c r="G319" s="50" t="s">
        <v>74</v>
      </c>
      <c r="H319" s="50" t="s">
        <v>581</v>
      </c>
      <c r="I319" s="50" t="s">
        <v>91</v>
      </c>
      <c r="J319" s="50" t="s">
        <v>286</v>
      </c>
      <c r="K319" s="50" t="s">
        <v>291</v>
      </c>
      <c r="L319" s="50" t="s">
        <v>286</v>
      </c>
      <c r="M319" s="50" t="s">
        <v>370</v>
      </c>
      <c r="N319" s="111">
        <v>5</v>
      </c>
      <c r="O319" s="111">
        <v>5</v>
      </c>
      <c r="P319" s="111">
        <v>5</v>
      </c>
      <c r="Q319" s="111">
        <v>5</v>
      </c>
      <c r="R319" s="111">
        <v>5</v>
      </c>
      <c r="S319" s="111">
        <v>6</v>
      </c>
      <c r="T319" s="111">
        <v>5</v>
      </c>
      <c r="U319" s="111">
        <v>5</v>
      </c>
      <c r="V319" s="111">
        <v>6</v>
      </c>
      <c r="W319" s="111">
        <v>6</v>
      </c>
      <c r="X319" s="111">
        <v>6</v>
      </c>
      <c r="Y319" s="111">
        <v>6</v>
      </c>
      <c r="Z319" s="111">
        <v>6</v>
      </c>
      <c r="AA319" s="111">
        <v>6</v>
      </c>
      <c r="AB319" s="111">
        <v>6</v>
      </c>
      <c r="AC319" s="111">
        <v>5</v>
      </c>
      <c r="AD319" s="111">
        <v>5</v>
      </c>
      <c r="AE319" s="111">
        <v>5</v>
      </c>
      <c r="AF319" s="111">
        <v>5</v>
      </c>
      <c r="AG319" s="111">
        <v>5</v>
      </c>
      <c r="AH319" s="111">
        <v>5</v>
      </c>
      <c r="AI319" s="111">
        <v>5</v>
      </c>
      <c r="AJ319" s="111">
        <v>5</v>
      </c>
      <c r="AK319" s="111">
        <v>5</v>
      </c>
      <c r="AL319" s="111">
        <v>5</v>
      </c>
      <c r="AM319" s="111">
        <v>5</v>
      </c>
      <c r="AN319" s="111">
        <v>5</v>
      </c>
      <c r="AO319" s="111">
        <v>5</v>
      </c>
      <c r="AP319" s="111">
        <v>5</v>
      </c>
      <c r="AQ319" s="111">
        <v>6</v>
      </c>
      <c r="AR319" s="111">
        <v>5</v>
      </c>
      <c r="AS319" s="111">
        <v>5</v>
      </c>
      <c r="AT319" s="111">
        <v>5</v>
      </c>
      <c r="AU319" s="111">
        <v>5</v>
      </c>
      <c r="AV319" s="50" t="s">
        <v>202</v>
      </c>
      <c r="AW319" s="50" t="s">
        <v>202</v>
      </c>
      <c r="AX319" s="50" t="s">
        <v>201</v>
      </c>
      <c r="AY319" s="50" t="s">
        <v>199</v>
      </c>
      <c r="AZ319" s="50" t="s">
        <v>202</v>
      </c>
      <c r="BA319" s="50" t="s">
        <v>202</v>
      </c>
      <c r="BB319" s="50" t="s">
        <v>202</v>
      </c>
      <c r="BC319" s="50" t="s">
        <v>202</v>
      </c>
      <c r="BD319" s="50" t="s">
        <v>202</v>
      </c>
      <c r="BE319" s="50" t="s">
        <v>201</v>
      </c>
      <c r="BF319" s="50" t="s">
        <v>201</v>
      </c>
      <c r="BG319" s="50" t="s">
        <v>202</v>
      </c>
      <c r="BH319" s="50" t="s">
        <v>201</v>
      </c>
      <c r="BI319" s="50" t="s">
        <v>202</v>
      </c>
      <c r="BJ319" s="50" t="s">
        <v>202</v>
      </c>
      <c r="BK319" s="50" t="s">
        <v>202</v>
      </c>
      <c r="BL319" s="50" t="s">
        <v>202</v>
      </c>
      <c r="BM319" s="50" t="s">
        <v>436</v>
      </c>
      <c r="BN319" s="50" t="s">
        <v>441</v>
      </c>
      <c r="BO319" s="50" t="s">
        <v>91</v>
      </c>
      <c r="BP319" s="50" t="s">
        <v>286</v>
      </c>
      <c r="BQ319" s="50" t="s">
        <v>287</v>
      </c>
      <c r="BR319" s="50" t="s">
        <v>372</v>
      </c>
      <c r="BS319" s="111">
        <v>5</v>
      </c>
      <c r="BT319" s="50" t="s">
        <v>286</v>
      </c>
      <c r="BU319" s="50" t="s">
        <v>348</v>
      </c>
      <c r="BV319" s="50" t="s">
        <v>288</v>
      </c>
      <c r="BW319" s="50" t="s">
        <v>350</v>
      </c>
      <c r="BX319" s="50" t="s">
        <v>387</v>
      </c>
      <c r="BY319" s="50" t="s">
        <v>288</v>
      </c>
      <c r="BZ319" s="50" t="s">
        <v>287</v>
      </c>
      <c r="CA319" s="50"/>
      <c r="CB319" s="50" t="s">
        <v>287</v>
      </c>
      <c r="CC319" s="50" t="s">
        <v>287</v>
      </c>
      <c r="CD319" s="50" t="s">
        <v>287</v>
      </c>
      <c r="CE319" s="50"/>
      <c r="CF319" s="50" t="s">
        <v>287</v>
      </c>
      <c r="CG319" s="50" t="s">
        <v>287</v>
      </c>
      <c r="CH319" s="50" t="s">
        <v>486</v>
      </c>
      <c r="CI319" s="50" t="s">
        <v>287</v>
      </c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</row>
    <row r="320" spans="1:97" ht="36.75" customHeight="1" thickBot="1">
      <c r="A320" s="49">
        <v>46105.582824074074</v>
      </c>
      <c r="B320" s="50" t="s">
        <v>38</v>
      </c>
      <c r="C320" s="50" t="s">
        <v>45</v>
      </c>
      <c r="D320" s="50" t="s">
        <v>374</v>
      </c>
      <c r="E320" s="50" t="s">
        <v>63</v>
      </c>
      <c r="F320" s="50" t="s">
        <v>286</v>
      </c>
      <c r="G320" s="50" t="s">
        <v>73</v>
      </c>
      <c r="H320" s="50" t="s">
        <v>321</v>
      </c>
      <c r="I320" s="50" t="s">
        <v>91</v>
      </c>
      <c r="J320" s="50" t="s">
        <v>286</v>
      </c>
      <c r="K320" s="50" t="s">
        <v>291</v>
      </c>
      <c r="L320" s="50" t="s">
        <v>286</v>
      </c>
      <c r="M320" s="50" t="s">
        <v>370</v>
      </c>
      <c r="N320" s="111">
        <v>5</v>
      </c>
      <c r="O320" s="111">
        <v>5</v>
      </c>
      <c r="P320" s="111">
        <v>5</v>
      </c>
      <c r="Q320" s="111">
        <v>5</v>
      </c>
      <c r="R320" s="111">
        <v>5</v>
      </c>
      <c r="S320" s="111">
        <v>5</v>
      </c>
      <c r="T320" s="111">
        <v>5</v>
      </c>
      <c r="U320" s="111">
        <v>5</v>
      </c>
      <c r="V320" s="111">
        <v>6</v>
      </c>
      <c r="W320" s="111">
        <v>6</v>
      </c>
      <c r="X320" s="111">
        <v>6</v>
      </c>
      <c r="Y320" s="111">
        <v>6</v>
      </c>
      <c r="Z320" s="111">
        <v>6</v>
      </c>
      <c r="AA320" s="111">
        <v>6</v>
      </c>
      <c r="AB320" s="111">
        <v>6</v>
      </c>
      <c r="AC320" s="111">
        <v>5</v>
      </c>
      <c r="AD320" s="111">
        <v>5</v>
      </c>
      <c r="AE320" s="111">
        <v>5</v>
      </c>
      <c r="AF320" s="111">
        <v>5</v>
      </c>
      <c r="AG320" s="111">
        <v>5</v>
      </c>
      <c r="AH320" s="111">
        <v>5</v>
      </c>
      <c r="AI320" s="111">
        <v>5</v>
      </c>
      <c r="AJ320" s="111">
        <v>5</v>
      </c>
      <c r="AK320" s="111">
        <v>5</v>
      </c>
      <c r="AL320" s="111">
        <v>5</v>
      </c>
      <c r="AM320" s="111">
        <v>5</v>
      </c>
      <c r="AN320" s="111">
        <v>5</v>
      </c>
      <c r="AO320" s="111">
        <v>5</v>
      </c>
      <c r="AP320" s="111">
        <v>5</v>
      </c>
      <c r="AQ320" s="111">
        <v>6</v>
      </c>
      <c r="AR320" s="111">
        <v>5</v>
      </c>
      <c r="AS320" s="111">
        <v>5</v>
      </c>
      <c r="AT320" s="111">
        <v>5</v>
      </c>
      <c r="AU320" s="111">
        <v>5</v>
      </c>
      <c r="AV320" s="50" t="s">
        <v>202</v>
      </c>
      <c r="AW320" s="50" t="s">
        <v>202</v>
      </c>
      <c r="AX320" s="50" t="s">
        <v>201</v>
      </c>
      <c r="AY320" s="50" t="s">
        <v>199</v>
      </c>
      <c r="AZ320" s="50" t="s">
        <v>202</v>
      </c>
      <c r="BA320" s="50" t="s">
        <v>199</v>
      </c>
      <c r="BB320" s="50" t="s">
        <v>202</v>
      </c>
      <c r="BC320" s="50" t="s">
        <v>202</v>
      </c>
      <c r="BD320" s="50" t="s">
        <v>202</v>
      </c>
      <c r="BE320" s="50" t="s">
        <v>202</v>
      </c>
      <c r="BF320" s="50" t="s">
        <v>201</v>
      </c>
      <c r="BG320" s="50" t="s">
        <v>202</v>
      </c>
      <c r="BH320" s="50" t="s">
        <v>199</v>
      </c>
      <c r="BI320" s="50" t="s">
        <v>202</v>
      </c>
      <c r="BJ320" s="50" t="s">
        <v>202</v>
      </c>
      <c r="BK320" s="50" t="s">
        <v>202</v>
      </c>
      <c r="BL320" s="50" t="s">
        <v>202</v>
      </c>
      <c r="BM320" s="50" t="s">
        <v>436</v>
      </c>
      <c r="BN320" s="50" t="s">
        <v>479</v>
      </c>
      <c r="BO320" s="50" t="s">
        <v>91</v>
      </c>
      <c r="BP320" s="50" t="s">
        <v>286</v>
      </c>
      <c r="BQ320" s="50" t="s">
        <v>287</v>
      </c>
      <c r="BR320" s="50" t="s">
        <v>447</v>
      </c>
      <c r="BS320" s="111">
        <v>5</v>
      </c>
      <c r="BT320" s="50" t="s">
        <v>286</v>
      </c>
      <c r="BU320" s="50" t="s">
        <v>348</v>
      </c>
      <c r="BV320" s="50" t="s">
        <v>288</v>
      </c>
      <c r="BW320" s="50" t="s">
        <v>350</v>
      </c>
      <c r="BX320" s="50" t="s">
        <v>387</v>
      </c>
      <c r="BY320" s="50" t="s">
        <v>288</v>
      </c>
      <c r="BZ320" s="50" t="s">
        <v>287</v>
      </c>
      <c r="CA320" s="50"/>
      <c r="CB320" s="50" t="s">
        <v>287</v>
      </c>
      <c r="CC320" s="50" t="s">
        <v>287</v>
      </c>
      <c r="CD320" s="50" t="s">
        <v>287</v>
      </c>
      <c r="CE320" s="50"/>
      <c r="CF320" s="50" t="s">
        <v>287</v>
      </c>
      <c r="CG320" s="50" t="s">
        <v>287</v>
      </c>
      <c r="CH320" s="50" t="s">
        <v>486</v>
      </c>
      <c r="CI320" s="50" t="s">
        <v>287</v>
      </c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</row>
    <row r="321" spans="1:97" ht="36.75" customHeight="1" thickBot="1">
      <c r="A321" s="49">
        <v>46105.586226851854</v>
      </c>
      <c r="B321" s="50" t="s">
        <v>35</v>
      </c>
      <c r="C321" s="50" t="s">
        <v>45</v>
      </c>
      <c r="D321" s="50" t="s">
        <v>374</v>
      </c>
      <c r="E321" s="50" t="s">
        <v>61</v>
      </c>
      <c r="F321" s="50" t="s">
        <v>286</v>
      </c>
      <c r="G321" s="50" t="s">
        <v>73</v>
      </c>
      <c r="H321" s="50" t="s">
        <v>298</v>
      </c>
      <c r="I321" s="50" t="s">
        <v>91</v>
      </c>
      <c r="J321" s="50" t="s">
        <v>286</v>
      </c>
      <c r="K321" s="50" t="s">
        <v>291</v>
      </c>
      <c r="L321" s="50" t="s">
        <v>286</v>
      </c>
      <c r="M321" s="50" t="s">
        <v>370</v>
      </c>
      <c r="N321" s="111">
        <v>5</v>
      </c>
      <c r="O321" s="111">
        <v>5</v>
      </c>
      <c r="P321" s="111">
        <v>5</v>
      </c>
      <c r="Q321" s="111">
        <v>5</v>
      </c>
      <c r="R321" s="111">
        <v>5</v>
      </c>
      <c r="S321" s="111">
        <v>5</v>
      </c>
      <c r="T321" s="111">
        <v>5</v>
      </c>
      <c r="U321" s="111">
        <v>5</v>
      </c>
      <c r="V321" s="111">
        <v>6</v>
      </c>
      <c r="W321" s="111">
        <v>6</v>
      </c>
      <c r="X321" s="111">
        <v>6</v>
      </c>
      <c r="Y321" s="111">
        <v>6</v>
      </c>
      <c r="Z321" s="111">
        <v>6</v>
      </c>
      <c r="AA321" s="111">
        <v>6</v>
      </c>
      <c r="AB321" s="111">
        <v>6</v>
      </c>
      <c r="AC321" s="111">
        <v>5</v>
      </c>
      <c r="AD321" s="111">
        <v>5</v>
      </c>
      <c r="AE321" s="111">
        <v>5</v>
      </c>
      <c r="AF321" s="111">
        <v>5</v>
      </c>
      <c r="AG321" s="111">
        <v>5</v>
      </c>
      <c r="AH321" s="111">
        <v>5</v>
      </c>
      <c r="AI321" s="111">
        <v>5</v>
      </c>
      <c r="AJ321" s="111">
        <v>5</v>
      </c>
      <c r="AK321" s="111">
        <v>5</v>
      </c>
      <c r="AL321" s="111">
        <v>5</v>
      </c>
      <c r="AM321" s="111">
        <v>5</v>
      </c>
      <c r="AN321" s="111">
        <v>5</v>
      </c>
      <c r="AO321" s="111">
        <v>5</v>
      </c>
      <c r="AP321" s="111">
        <v>5</v>
      </c>
      <c r="AQ321" s="111">
        <v>6</v>
      </c>
      <c r="AR321" s="111">
        <v>5</v>
      </c>
      <c r="AS321" s="111">
        <v>5</v>
      </c>
      <c r="AT321" s="111">
        <v>5</v>
      </c>
      <c r="AU321" s="111">
        <v>5</v>
      </c>
      <c r="AV321" s="50" t="s">
        <v>202</v>
      </c>
      <c r="AW321" s="50" t="s">
        <v>202</v>
      </c>
      <c r="AX321" s="50" t="s">
        <v>199</v>
      </c>
      <c r="AY321" s="50" t="s">
        <v>199</v>
      </c>
      <c r="AZ321" s="50" t="s">
        <v>202</v>
      </c>
      <c r="BA321" s="50" t="s">
        <v>199</v>
      </c>
      <c r="BB321" s="50" t="s">
        <v>202</v>
      </c>
      <c r="BC321" s="50" t="s">
        <v>202</v>
      </c>
      <c r="BD321" s="50" t="s">
        <v>202</v>
      </c>
      <c r="BE321" s="50" t="s">
        <v>199</v>
      </c>
      <c r="BF321" s="50" t="s">
        <v>199</v>
      </c>
      <c r="BG321" s="50" t="s">
        <v>202</v>
      </c>
      <c r="BH321" s="50" t="s">
        <v>201</v>
      </c>
      <c r="BI321" s="50" t="s">
        <v>202</v>
      </c>
      <c r="BJ321" s="50" t="s">
        <v>202</v>
      </c>
      <c r="BK321" s="50" t="s">
        <v>202</v>
      </c>
      <c r="BL321" s="50" t="s">
        <v>202</v>
      </c>
      <c r="BM321" s="50" t="s">
        <v>436</v>
      </c>
      <c r="BN321" s="50" t="s">
        <v>286</v>
      </c>
      <c r="BO321" s="50" t="s">
        <v>91</v>
      </c>
      <c r="BP321" s="50" t="s">
        <v>286</v>
      </c>
      <c r="BQ321" s="50" t="s">
        <v>287</v>
      </c>
      <c r="BR321" s="50" t="s">
        <v>372</v>
      </c>
      <c r="BS321" s="111">
        <v>5</v>
      </c>
      <c r="BT321" s="50" t="s">
        <v>286</v>
      </c>
      <c r="BU321" s="50" t="s">
        <v>348</v>
      </c>
      <c r="BV321" s="50" t="s">
        <v>288</v>
      </c>
      <c r="BW321" s="50" t="s">
        <v>350</v>
      </c>
      <c r="BX321" s="50" t="s">
        <v>387</v>
      </c>
      <c r="BY321" s="50" t="s">
        <v>288</v>
      </c>
      <c r="BZ321" s="50" t="s">
        <v>287</v>
      </c>
      <c r="CA321" s="50"/>
      <c r="CB321" s="50" t="s">
        <v>287</v>
      </c>
      <c r="CC321" s="50" t="s">
        <v>287</v>
      </c>
      <c r="CD321" s="50" t="s">
        <v>287</v>
      </c>
      <c r="CE321" s="50"/>
      <c r="CF321" s="50" t="s">
        <v>287</v>
      </c>
      <c r="CG321" s="50" t="s">
        <v>287</v>
      </c>
      <c r="CH321" s="50" t="s">
        <v>486</v>
      </c>
      <c r="CI321" s="50" t="s">
        <v>287</v>
      </c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</row>
    <row r="322" spans="1:97" ht="36.75" customHeight="1" thickBot="1">
      <c r="A322" s="49">
        <v>46105.589085648149</v>
      </c>
      <c r="B322" s="50" t="s">
        <v>38</v>
      </c>
      <c r="C322" s="50" t="s">
        <v>46</v>
      </c>
      <c r="D322" s="50" t="s">
        <v>374</v>
      </c>
      <c r="E322" s="50" t="s">
        <v>62</v>
      </c>
      <c r="F322" s="50" t="s">
        <v>286</v>
      </c>
      <c r="G322" s="50" t="s">
        <v>73</v>
      </c>
      <c r="H322" s="50" t="s">
        <v>377</v>
      </c>
      <c r="I322" s="50" t="s">
        <v>91</v>
      </c>
      <c r="J322" s="50" t="s">
        <v>286</v>
      </c>
      <c r="K322" s="50" t="s">
        <v>291</v>
      </c>
      <c r="L322" s="50" t="s">
        <v>286</v>
      </c>
      <c r="M322" s="50" t="s">
        <v>370</v>
      </c>
      <c r="N322" s="111">
        <v>5</v>
      </c>
      <c r="O322" s="111">
        <v>5</v>
      </c>
      <c r="P322" s="111">
        <v>5</v>
      </c>
      <c r="Q322" s="111">
        <v>5</v>
      </c>
      <c r="R322" s="111">
        <v>5</v>
      </c>
      <c r="S322" s="111">
        <v>5</v>
      </c>
      <c r="T322" s="111">
        <v>5</v>
      </c>
      <c r="U322" s="111">
        <v>5</v>
      </c>
      <c r="V322" s="111">
        <v>6</v>
      </c>
      <c r="W322" s="111">
        <v>6</v>
      </c>
      <c r="X322" s="111">
        <v>6</v>
      </c>
      <c r="Y322" s="111">
        <v>6</v>
      </c>
      <c r="Z322" s="111">
        <v>6</v>
      </c>
      <c r="AA322" s="111">
        <v>6</v>
      </c>
      <c r="AB322" s="111">
        <v>6</v>
      </c>
      <c r="AC322" s="111">
        <v>5</v>
      </c>
      <c r="AD322" s="111">
        <v>5</v>
      </c>
      <c r="AE322" s="111">
        <v>5</v>
      </c>
      <c r="AF322" s="111">
        <v>5</v>
      </c>
      <c r="AG322" s="111">
        <v>5</v>
      </c>
      <c r="AH322" s="111">
        <v>5</v>
      </c>
      <c r="AI322" s="111">
        <v>5</v>
      </c>
      <c r="AJ322" s="111">
        <v>5</v>
      </c>
      <c r="AK322" s="111">
        <v>5</v>
      </c>
      <c r="AL322" s="111">
        <v>5</v>
      </c>
      <c r="AM322" s="111">
        <v>5</v>
      </c>
      <c r="AN322" s="111">
        <v>5</v>
      </c>
      <c r="AO322" s="111">
        <v>5</v>
      </c>
      <c r="AP322" s="111">
        <v>5</v>
      </c>
      <c r="AQ322" s="111">
        <v>6</v>
      </c>
      <c r="AR322" s="111">
        <v>5</v>
      </c>
      <c r="AS322" s="111">
        <v>5</v>
      </c>
      <c r="AT322" s="111">
        <v>5</v>
      </c>
      <c r="AU322" s="111">
        <v>5</v>
      </c>
      <c r="AV322" s="50" t="s">
        <v>202</v>
      </c>
      <c r="AW322" s="50" t="s">
        <v>202</v>
      </c>
      <c r="AX322" s="50" t="s">
        <v>201</v>
      </c>
      <c r="AY322" s="50" t="s">
        <v>199</v>
      </c>
      <c r="AZ322" s="50" t="s">
        <v>202</v>
      </c>
      <c r="BA322" s="50" t="s">
        <v>202</v>
      </c>
      <c r="BB322" s="50" t="s">
        <v>202</v>
      </c>
      <c r="BC322" s="50" t="s">
        <v>202</v>
      </c>
      <c r="BD322" s="50" t="s">
        <v>202</v>
      </c>
      <c r="BE322" s="50" t="s">
        <v>199</v>
      </c>
      <c r="BF322" s="50" t="s">
        <v>201</v>
      </c>
      <c r="BG322" s="50" t="s">
        <v>202</v>
      </c>
      <c r="BH322" s="50" t="s">
        <v>201</v>
      </c>
      <c r="BI322" s="50" t="s">
        <v>202</v>
      </c>
      <c r="BJ322" s="50" t="s">
        <v>202</v>
      </c>
      <c r="BK322" s="50" t="s">
        <v>202</v>
      </c>
      <c r="BL322" s="50" t="s">
        <v>202</v>
      </c>
      <c r="BM322" s="50" t="s">
        <v>436</v>
      </c>
      <c r="BN322" s="50" t="s">
        <v>286</v>
      </c>
      <c r="BO322" s="50" t="s">
        <v>91</v>
      </c>
      <c r="BP322" s="50" t="s">
        <v>286</v>
      </c>
      <c r="BQ322" s="50" t="s">
        <v>287</v>
      </c>
      <c r="BR322" s="50" t="s">
        <v>372</v>
      </c>
      <c r="BS322" s="111">
        <v>5</v>
      </c>
      <c r="BT322" s="50" t="s">
        <v>286</v>
      </c>
      <c r="BU322" s="50" t="s">
        <v>348</v>
      </c>
      <c r="BV322" s="50" t="s">
        <v>288</v>
      </c>
      <c r="BW322" s="50" t="s">
        <v>350</v>
      </c>
      <c r="BX322" s="50" t="s">
        <v>387</v>
      </c>
      <c r="BY322" s="50" t="s">
        <v>288</v>
      </c>
      <c r="BZ322" s="50" t="s">
        <v>287</v>
      </c>
      <c r="CA322" s="50"/>
      <c r="CB322" s="50" t="s">
        <v>287</v>
      </c>
      <c r="CC322" s="50" t="s">
        <v>287</v>
      </c>
      <c r="CD322" s="50" t="s">
        <v>287</v>
      </c>
      <c r="CE322" s="50"/>
      <c r="CF322" s="50" t="s">
        <v>287</v>
      </c>
      <c r="CG322" s="50" t="s">
        <v>287</v>
      </c>
      <c r="CH322" s="50" t="s">
        <v>486</v>
      </c>
      <c r="CI322" s="50" t="s">
        <v>287</v>
      </c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</row>
    <row r="323" spans="1:97" ht="21.6" customHeight="1" thickBot="1">
      <c r="A323" s="49">
        <v>46105.5937962963</v>
      </c>
      <c r="B323" s="50" t="s">
        <v>38</v>
      </c>
      <c r="C323" s="50" t="s">
        <v>46</v>
      </c>
      <c r="D323" s="50" t="s">
        <v>385</v>
      </c>
      <c r="E323" s="50" t="s">
        <v>60</v>
      </c>
      <c r="F323" s="50" t="s">
        <v>440</v>
      </c>
      <c r="G323" s="50" t="s">
        <v>74</v>
      </c>
      <c r="H323" s="50" t="s">
        <v>429</v>
      </c>
      <c r="I323" s="50" t="s">
        <v>91</v>
      </c>
      <c r="J323" s="50" t="s">
        <v>286</v>
      </c>
      <c r="K323" s="50" t="s">
        <v>291</v>
      </c>
      <c r="L323" s="50" t="s">
        <v>286</v>
      </c>
      <c r="M323" s="50" t="s">
        <v>370</v>
      </c>
      <c r="N323" s="111">
        <v>5</v>
      </c>
      <c r="O323" s="111">
        <v>5</v>
      </c>
      <c r="P323" s="111">
        <v>5</v>
      </c>
      <c r="Q323" s="111">
        <v>5</v>
      </c>
      <c r="R323" s="111">
        <v>6</v>
      </c>
      <c r="S323" s="111">
        <v>6</v>
      </c>
      <c r="T323" s="111">
        <v>4</v>
      </c>
      <c r="U323" s="111">
        <v>5</v>
      </c>
      <c r="V323" s="111">
        <v>6</v>
      </c>
      <c r="W323" s="111">
        <v>6</v>
      </c>
      <c r="X323" s="111">
        <v>6</v>
      </c>
      <c r="Y323" s="111">
        <v>6</v>
      </c>
      <c r="Z323" s="111">
        <v>6</v>
      </c>
      <c r="AA323" s="111">
        <v>6</v>
      </c>
      <c r="AB323" s="111">
        <v>6</v>
      </c>
      <c r="AC323" s="111">
        <v>5</v>
      </c>
      <c r="AD323" s="111">
        <v>5</v>
      </c>
      <c r="AE323" s="111">
        <v>5</v>
      </c>
      <c r="AF323" s="111">
        <v>5</v>
      </c>
      <c r="AG323" s="111">
        <v>5</v>
      </c>
      <c r="AH323" s="111">
        <v>5</v>
      </c>
      <c r="AI323" s="111">
        <v>5</v>
      </c>
      <c r="AJ323" s="111">
        <v>5</v>
      </c>
      <c r="AK323" s="111">
        <v>5</v>
      </c>
      <c r="AL323" s="111">
        <v>5</v>
      </c>
      <c r="AM323" s="111">
        <v>5</v>
      </c>
      <c r="AN323" s="111">
        <v>5</v>
      </c>
      <c r="AO323" s="111">
        <v>5</v>
      </c>
      <c r="AP323" s="111">
        <v>5</v>
      </c>
      <c r="AQ323" s="111">
        <v>6</v>
      </c>
      <c r="AR323" s="111">
        <v>5</v>
      </c>
      <c r="AS323" s="111">
        <v>5</v>
      </c>
      <c r="AT323" s="111">
        <v>5</v>
      </c>
      <c r="AU323" s="111">
        <v>5</v>
      </c>
      <c r="AV323" s="50" t="s">
        <v>202</v>
      </c>
      <c r="AW323" s="50" t="s">
        <v>202</v>
      </c>
      <c r="AX323" s="50" t="s">
        <v>201</v>
      </c>
      <c r="AY323" s="50" t="s">
        <v>199</v>
      </c>
      <c r="AZ323" s="50" t="s">
        <v>202</v>
      </c>
      <c r="BA323" s="50" t="s">
        <v>200</v>
      </c>
      <c r="BB323" s="50" t="s">
        <v>202</v>
      </c>
      <c r="BC323" s="50" t="s">
        <v>202</v>
      </c>
      <c r="BD323" s="50" t="s">
        <v>202</v>
      </c>
      <c r="BE323" s="50" t="s">
        <v>202</v>
      </c>
      <c r="BF323" s="50" t="s">
        <v>201</v>
      </c>
      <c r="BG323" s="50" t="s">
        <v>202</v>
      </c>
      <c r="BH323" s="50" t="s">
        <v>201</v>
      </c>
      <c r="BI323" s="50" t="s">
        <v>202</v>
      </c>
      <c r="BJ323" s="50" t="s">
        <v>202</v>
      </c>
      <c r="BK323" s="50" t="s">
        <v>202</v>
      </c>
      <c r="BL323" s="50" t="s">
        <v>202</v>
      </c>
      <c r="BM323" s="50" t="s">
        <v>436</v>
      </c>
      <c r="BN323" s="50" t="s">
        <v>444</v>
      </c>
      <c r="BO323" s="50" t="s">
        <v>91</v>
      </c>
      <c r="BP323" s="50" t="s">
        <v>286</v>
      </c>
      <c r="BQ323" s="50" t="s">
        <v>287</v>
      </c>
      <c r="BR323" s="50" t="s">
        <v>372</v>
      </c>
      <c r="BS323" s="111">
        <v>5</v>
      </c>
      <c r="BT323" s="50" t="s">
        <v>286</v>
      </c>
      <c r="BU323" s="50" t="s">
        <v>348</v>
      </c>
      <c r="BV323" s="50" t="s">
        <v>288</v>
      </c>
      <c r="BW323" s="50" t="s">
        <v>350</v>
      </c>
      <c r="BX323" s="50" t="s">
        <v>387</v>
      </c>
      <c r="BY323" s="50" t="s">
        <v>288</v>
      </c>
      <c r="BZ323" s="50" t="s">
        <v>287</v>
      </c>
      <c r="CA323" s="50"/>
      <c r="CB323" s="50" t="s">
        <v>287</v>
      </c>
      <c r="CC323" s="50" t="s">
        <v>287</v>
      </c>
      <c r="CD323" s="50" t="s">
        <v>287</v>
      </c>
      <c r="CE323" s="50"/>
      <c r="CF323" s="50" t="s">
        <v>287</v>
      </c>
      <c r="CG323" s="50" t="s">
        <v>91</v>
      </c>
      <c r="CH323" s="50" t="s">
        <v>486</v>
      </c>
      <c r="CI323" s="50" t="s">
        <v>287</v>
      </c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</row>
    <row r="324" spans="1:97" ht="21.6" customHeight="1" thickBot="1">
      <c r="A324" s="49">
        <v>46105.675034722219</v>
      </c>
      <c r="B324" s="50" t="s">
        <v>36</v>
      </c>
      <c r="C324" s="50" t="s">
        <v>45</v>
      </c>
      <c r="D324" s="50" t="s">
        <v>369</v>
      </c>
      <c r="E324" s="50" t="s">
        <v>61</v>
      </c>
      <c r="F324" s="50" t="s">
        <v>286</v>
      </c>
      <c r="G324" s="50" t="s">
        <v>73</v>
      </c>
      <c r="H324" s="50" t="s">
        <v>356</v>
      </c>
      <c r="I324" s="50" t="s">
        <v>91</v>
      </c>
      <c r="J324" s="50" t="s">
        <v>286</v>
      </c>
      <c r="K324" s="50" t="s">
        <v>291</v>
      </c>
      <c r="L324" s="50" t="s">
        <v>286</v>
      </c>
      <c r="M324" s="50" t="s">
        <v>370</v>
      </c>
      <c r="N324" s="111">
        <v>5</v>
      </c>
      <c r="O324" s="111">
        <v>5</v>
      </c>
      <c r="P324" s="111">
        <v>5</v>
      </c>
      <c r="Q324" s="111">
        <v>5</v>
      </c>
      <c r="R324" s="111">
        <v>5</v>
      </c>
      <c r="S324" s="111">
        <v>6</v>
      </c>
      <c r="T324" s="111">
        <v>5</v>
      </c>
      <c r="U324" s="111">
        <v>4</v>
      </c>
      <c r="V324" s="111">
        <v>6</v>
      </c>
      <c r="W324" s="111">
        <v>6</v>
      </c>
      <c r="X324" s="111">
        <v>6</v>
      </c>
      <c r="Y324" s="111">
        <v>6</v>
      </c>
      <c r="Z324" s="111">
        <v>6</v>
      </c>
      <c r="AA324" s="111">
        <v>6</v>
      </c>
      <c r="AB324" s="111">
        <v>6</v>
      </c>
      <c r="AC324" s="111">
        <v>4</v>
      </c>
      <c r="AD324" s="111">
        <v>4</v>
      </c>
      <c r="AE324" s="111">
        <v>4</v>
      </c>
      <c r="AF324" s="111">
        <v>4</v>
      </c>
      <c r="AG324" s="111">
        <v>4</v>
      </c>
      <c r="AH324" s="111">
        <v>4</v>
      </c>
      <c r="AI324" s="111">
        <v>4</v>
      </c>
      <c r="AJ324" s="111">
        <v>4</v>
      </c>
      <c r="AK324" s="111">
        <v>4</v>
      </c>
      <c r="AL324" s="111">
        <v>5</v>
      </c>
      <c r="AM324" s="111">
        <v>4</v>
      </c>
      <c r="AN324" s="111">
        <v>4</v>
      </c>
      <c r="AO324" s="111">
        <v>4</v>
      </c>
      <c r="AP324" s="111">
        <v>4</v>
      </c>
      <c r="AQ324" s="111">
        <v>5</v>
      </c>
      <c r="AR324" s="111">
        <v>4</v>
      </c>
      <c r="AS324" s="111">
        <v>4</v>
      </c>
      <c r="AT324" s="111">
        <v>4</v>
      </c>
      <c r="AU324" s="111">
        <v>4</v>
      </c>
      <c r="AV324" s="50" t="s">
        <v>202</v>
      </c>
      <c r="AW324" s="50" t="s">
        <v>202</v>
      </c>
      <c r="AX324" s="50" t="s">
        <v>201</v>
      </c>
      <c r="AY324" s="50" t="s">
        <v>199</v>
      </c>
      <c r="AZ324" s="50" t="s">
        <v>202</v>
      </c>
      <c r="BA324" s="50" t="s">
        <v>199</v>
      </c>
      <c r="BB324" s="50" t="s">
        <v>202</v>
      </c>
      <c r="BC324" s="50" t="s">
        <v>202</v>
      </c>
      <c r="BD324" s="50" t="s">
        <v>202</v>
      </c>
      <c r="BE324" s="50" t="s">
        <v>202</v>
      </c>
      <c r="BF324" s="50" t="s">
        <v>201</v>
      </c>
      <c r="BG324" s="50" t="s">
        <v>202</v>
      </c>
      <c r="BH324" s="50" t="s">
        <v>200</v>
      </c>
      <c r="BI324" s="50" t="s">
        <v>202</v>
      </c>
      <c r="BJ324" s="50" t="s">
        <v>202</v>
      </c>
      <c r="BK324" s="50" t="s">
        <v>202</v>
      </c>
      <c r="BL324" s="50" t="s">
        <v>202</v>
      </c>
      <c r="BM324" s="50" t="s">
        <v>436</v>
      </c>
      <c r="BN324" s="50" t="s">
        <v>443</v>
      </c>
      <c r="BO324" s="50" t="s">
        <v>91</v>
      </c>
      <c r="BP324" s="50" t="s">
        <v>286</v>
      </c>
      <c r="BQ324" s="50" t="s">
        <v>287</v>
      </c>
      <c r="BR324" s="50" t="s">
        <v>372</v>
      </c>
      <c r="BS324" s="111">
        <v>5</v>
      </c>
      <c r="BT324" s="50" t="s">
        <v>286</v>
      </c>
      <c r="BU324" s="50" t="s">
        <v>348</v>
      </c>
      <c r="BV324" s="50" t="s">
        <v>288</v>
      </c>
      <c r="BW324" s="50" t="s">
        <v>350</v>
      </c>
      <c r="BX324" s="50" t="s">
        <v>387</v>
      </c>
      <c r="BY324" s="50" t="s">
        <v>288</v>
      </c>
      <c r="BZ324" s="50" t="s">
        <v>287</v>
      </c>
      <c r="CA324" s="50"/>
      <c r="CB324" s="50" t="s">
        <v>287</v>
      </c>
      <c r="CC324" s="50" t="s">
        <v>287</v>
      </c>
      <c r="CD324" s="50" t="s">
        <v>287</v>
      </c>
      <c r="CE324" s="50"/>
      <c r="CF324" s="50" t="s">
        <v>287</v>
      </c>
      <c r="CG324" s="50" t="s">
        <v>287</v>
      </c>
      <c r="CH324" s="50" t="s">
        <v>486</v>
      </c>
      <c r="CI324" s="50" t="s">
        <v>287</v>
      </c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</row>
    <row r="325" spans="1:97" ht="21.6" customHeight="1" thickBot="1">
      <c r="A325" s="49">
        <v>46105.695509259262</v>
      </c>
      <c r="B325" s="50" t="s">
        <v>35</v>
      </c>
      <c r="C325" s="50" t="s">
        <v>46</v>
      </c>
      <c r="D325" s="50" t="s">
        <v>369</v>
      </c>
      <c r="E325" s="50" t="s">
        <v>61</v>
      </c>
      <c r="F325" s="50" t="s">
        <v>286</v>
      </c>
      <c r="G325" s="50" t="s">
        <v>74</v>
      </c>
      <c r="H325" s="50" t="s">
        <v>302</v>
      </c>
      <c r="I325" s="50" t="s">
        <v>91</v>
      </c>
      <c r="J325" s="50" t="s">
        <v>286</v>
      </c>
      <c r="K325" s="50" t="s">
        <v>291</v>
      </c>
      <c r="L325" s="50" t="s">
        <v>286</v>
      </c>
      <c r="M325" s="50" t="s">
        <v>370</v>
      </c>
      <c r="N325" s="111">
        <v>5</v>
      </c>
      <c r="O325" s="111">
        <v>5</v>
      </c>
      <c r="P325" s="111">
        <v>5</v>
      </c>
      <c r="Q325" s="111">
        <v>5</v>
      </c>
      <c r="R325" s="111">
        <v>6</v>
      </c>
      <c r="S325" s="111">
        <v>6</v>
      </c>
      <c r="T325" s="111">
        <v>5</v>
      </c>
      <c r="U325" s="111">
        <v>5</v>
      </c>
      <c r="V325" s="111">
        <v>6</v>
      </c>
      <c r="W325" s="111">
        <v>6</v>
      </c>
      <c r="X325" s="111">
        <v>6</v>
      </c>
      <c r="Y325" s="111">
        <v>6</v>
      </c>
      <c r="Z325" s="111">
        <v>6</v>
      </c>
      <c r="AA325" s="111">
        <v>6</v>
      </c>
      <c r="AB325" s="111">
        <v>6</v>
      </c>
      <c r="AC325" s="111">
        <v>5</v>
      </c>
      <c r="AD325" s="111">
        <v>5</v>
      </c>
      <c r="AE325" s="111">
        <v>5</v>
      </c>
      <c r="AF325" s="111">
        <v>5</v>
      </c>
      <c r="AG325" s="111">
        <v>5</v>
      </c>
      <c r="AH325" s="111">
        <v>5</v>
      </c>
      <c r="AI325" s="111">
        <v>5</v>
      </c>
      <c r="AJ325" s="111">
        <v>5</v>
      </c>
      <c r="AK325" s="111">
        <v>5</v>
      </c>
      <c r="AL325" s="111">
        <v>5</v>
      </c>
      <c r="AM325" s="111">
        <v>5</v>
      </c>
      <c r="AN325" s="111">
        <v>5</v>
      </c>
      <c r="AO325" s="111">
        <v>5</v>
      </c>
      <c r="AP325" s="111">
        <v>5</v>
      </c>
      <c r="AQ325" s="111">
        <v>6</v>
      </c>
      <c r="AR325" s="111">
        <v>5</v>
      </c>
      <c r="AS325" s="111">
        <v>5</v>
      </c>
      <c r="AT325" s="111">
        <v>5</v>
      </c>
      <c r="AU325" s="111">
        <v>5</v>
      </c>
      <c r="AV325" s="50" t="s">
        <v>202</v>
      </c>
      <c r="AW325" s="50" t="s">
        <v>202</v>
      </c>
      <c r="AX325" s="50" t="s">
        <v>201</v>
      </c>
      <c r="AY325" s="50" t="s">
        <v>199</v>
      </c>
      <c r="AZ325" s="50" t="s">
        <v>202</v>
      </c>
      <c r="BA325" s="50" t="s">
        <v>202</v>
      </c>
      <c r="BB325" s="50" t="s">
        <v>202</v>
      </c>
      <c r="BC325" s="50" t="s">
        <v>202</v>
      </c>
      <c r="BD325" s="50" t="s">
        <v>202</v>
      </c>
      <c r="BE325" s="50" t="s">
        <v>202</v>
      </c>
      <c r="BF325" s="50" t="s">
        <v>201</v>
      </c>
      <c r="BG325" s="50" t="s">
        <v>202</v>
      </c>
      <c r="BH325" s="50" t="s">
        <v>200</v>
      </c>
      <c r="BI325" s="50" t="s">
        <v>202</v>
      </c>
      <c r="BJ325" s="50" t="s">
        <v>202</v>
      </c>
      <c r="BK325" s="50" t="s">
        <v>202</v>
      </c>
      <c r="BL325" s="50" t="s">
        <v>202</v>
      </c>
      <c r="BM325" s="50" t="s">
        <v>436</v>
      </c>
      <c r="BN325" s="50" t="s">
        <v>318</v>
      </c>
      <c r="BO325" s="50" t="s">
        <v>91</v>
      </c>
      <c r="BP325" s="50" t="s">
        <v>286</v>
      </c>
      <c r="BQ325" s="50" t="s">
        <v>287</v>
      </c>
      <c r="BR325" s="50" t="s">
        <v>372</v>
      </c>
      <c r="BS325" s="111">
        <v>5</v>
      </c>
      <c r="BT325" s="50" t="s">
        <v>286</v>
      </c>
      <c r="BU325" s="50" t="s">
        <v>348</v>
      </c>
      <c r="BV325" s="50" t="s">
        <v>288</v>
      </c>
      <c r="BW325" s="50" t="s">
        <v>350</v>
      </c>
      <c r="BX325" s="50" t="s">
        <v>387</v>
      </c>
      <c r="BY325" s="50" t="s">
        <v>288</v>
      </c>
      <c r="BZ325" s="50" t="s">
        <v>287</v>
      </c>
      <c r="CA325" s="50"/>
      <c r="CB325" s="50" t="s">
        <v>287</v>
      </c>
      <c r="CC325" s="50" t="s">
        <v>287</v>
      </c>
      <c r="CD325" s="50" t="s">
        <v>287</v>
      </c>
      <c r="CE325" s="50"/>
      <c r="CF325" s="50" t="s">
        <v>287</v>
      </c>
      <c r="CG325" s="50" t="s">
        <v>287</v>
      </c>
      <c r="CH325" s="50" t="s">
        <v>486</v>
      </c>
      <c r="CI325" s="50" t="s">
        <v>287</v>
      </c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</row>
    <row r="326" spans="1:97" ht="21.6" customHeight="1" thickBot="1">
      <c r="A326" s="49">
        <v>46106.31318287037</v>
      </c>
      <c r="B326" s="50" t="s">
        <v>40</v>
      </c>
      <c r="C326" s="50" t="s">
        <v>45</v>
      </c>
      <c r="D326" s="50" t="s">
        <v>369</v>
      </c>
      <c r="E326" s="50" t="s">
        <v>62</v>
      </c>
      <c r="F326" s="50" t="s">
        <v>286</v>
      </c>
      <c r="G326" s="50" t="s">
        <v>73</v>
      </c>
      <c r="H326" s="50" t="s">
        <v>313</v>
      </c>
      <c r="I326" s="50" t="s">
        <v>91</v>
      </c>
      <c r="J326" s="50" t="s">
        <v>286</v>
      </c>
      <c r="K326" s="50" t="s">
        <v>287</v>
      </c>
      <c r="L326" s="50" t="s">
        <v>376</v>
      </c>
      <c r="M326" s="50" t="s">
        <v>370</v>
      </c>
      <c r="N326" s="111">
        <v>5</v>
      </c>
      <c r="O326" s="111">
        <v>5</v>
      </c>
      <c r="P326" s="111">
        <v>5</v>
      </c>
      <c r="Q326" s="111">
        <v>5</v>
      </c>
      <c r="R326" s="111">
        <v>5</v>
      </c>
      <c r="S326" s="111">
        <v>6</v>
      </c>
      <c r="T326" s="111">
        <v>5</v>
      </c>
      <c r="U326" s="111">
        <v>5</v>
      </c>
      <c r="V326" s="111">
        <v>6</v>
      </c>
      <c r="W326" s="111">
        <v>6</v>
      </c>
      <c r="X326" s="111">
        <v>6</v>
      </c>
      <c r="Y326" s="111">
        <v>6</v>
      </c>
      <c r="Z326" s="111">
        <v>6</v>
      </c>
      <c r="AA326" s="111">
        <v>6</v>
      </c>
      <c r="AB326" s="111">
        <v>6</v>
      </c>
      <c r="AC326" s="111">
        <v>5</v>
      </c>
      <c r="AD326" s="111">
        <v>5</v>
      </c>
      <c r="AE326" s="111">
        <v>5</v>
      </c>
      <c r="AF326" s="111">
        <v>5</v>
      </c>
      <c r="AG326" s="111">
        <v>5</v>
      </c>
      <c r="AH326" s="111">
        <v>5</v>
      </c>
      <c r="AI326" s="111">
        <v>5</v>
      </c>
      <c r="AJ326" s="111">
        <v>5</v>
      </c>
      <c r="AK326" s="111">
        <v>5</v>
      </c>
      <c r="AL326" s="111">
        <v>5</v>
      </c>
      <c r="AM326" s="111">
        <v>5</v>
      </c>
      <c r="AN326" s="111">
        <v>5</v>
      </c>
      <c r="AO326" s="111">
        <v>5</v>
      </c>
      <c r="AP326" s="111">
        <v>5</v>
      </c>
      <c r="AQ326" s="111">
        <v>6</v>
      </c>
      <c r="AR326" s="111">
        <v>5</v>
      </c>
      <c r="AS326" s="111">
        <v>5</v>
      </c>
      <c r="AT326" s="111">
        <v>5</v>
      </c>
      <c r="AU326" s="111">
        <v>5</v>
      </c>
      <c r="AV326" s="50" t="s">
        <v>200</v>
      </c>
      <c r="AW326" s="50" t="s">
        <v>202</v>
      </c>
      <c r="AX326" s="50" t="s">
        <v>201</v>
      </c>
      <c r="AY326" s="50" t="s">
        <v>199</v>
      </c>
      <c r="AZ326" s="50" t="s">
        <v>202</v>
      </c>
      <c r="BA326" s="50" t="s">
        <v>199</v>
      </c>
      <c r="BB326" s="50" t="s">
        <v>202</v>
      </c>
      <c r="BC326" s="50" t="s">
        <v>202</v>
      </c>
      <c r="BD326" s="50" t="s">
        <v>202</v>
      </c>
      <c r="BE326" s="50" t="s">
        <v>201</v>
      </c>
      <c r="BF326" s="50" t="s">
        <v>201</v>
      </c>
      <c r="BG326" s="50" t="s">
        <v>202</v>
      </c>
      <c r="BH326" s="50" t="s">
        <v>201</v>
      </c>
      <c r="BI326" s="50" t="s">
        <v>202</v>
      </c>
      <c r="BJ326" s="50" t="s">
        <v>202</v>
      </c>
      <c r="BK326" s="50" t="s">
        <v>202</v>
      </c>
      <c r="BL326" s="50" t="s">
        <v>202</v>
      </c>
      <c r="BM326" s="50" t="s">
        <v>436</v>
      </c>
      <c r="BN326" s="50" t="s">
        <v>318</v>
      </c>
      <c r="BO326" s="50" t="s">
        <v>91</v>
      </c>
      <c r="BP326" s="50" t="s">
        <v>286</v>
      </c>
      <c r="BQ326" s="50" t="s">
        <v>287</v>
      </c>
      <c r="BR326" s="50" t="s">
        <v>392</v>
      </c>
      <c r="BS326" s="111">
        <v>5</v>
      </c>
      <c r="BT326" s="50" t="s">
        <v>286</v>
      </c>
      <c r="BU326" s="50" t="s">
        <v>348</v>
      </c>
      <c r="BV326" s="50" t="s">
        <v>288</v>
      </c>
      <c r="BW326" s="50" t="s">
        <v>350</v>
      </c>
      <c r="BX326" s="50" t="s">
        <v>387</v>
      </c>
      <c r="BY326" s="50" t="s">
        <v>288</v>
      </c>
      <c r="BZ326" s="50" t="s">
        <v>287</v>
      </c>
      <c r="CA326" s="50"/>
      <c r="CB326" s="50" t="s">
        <v>287</v>
      </c>
      <c r="CC326" s="50" t="s">
        <v>287</v>
      </c>
      <c r="CD326" s="50" t="s">
        <v>287</v>
      </c>
      <c r="CE326" s="50"/>
      <c r="CF326" s="50" t="s">
        <v>287</v>
      </c>
      <c r="CG326" s="50" t="s">
        <v>287</v>
      </c>
      <c r="CH326" s="50" t="s">
        <v>486</v>
      </c>
      <c r="CI326" s="50" t="s">
        <v>287</v>
      </c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</row>
    <row r="327" spans="1:97" ht="21.6" customHeight="1" thickBot="1">
      <c r="A327" s="49">
        <v>46106.315925925926</v>
      </c>
      <c r="B327" s="50" t="s">
        <v>40</v>
      </c>
      <c r="C327" s="50" t="s">
        <v>45</v>
      </c>
      <c r="D327" s="50" t="s">
        <v>374</v>
      </c>
      <c r="E327" s="50" t="s">
        <v>62</v>
      </c>
      <c r="F327" s="50" t="s">
        <v>286</v>
      </c>
      <c r="G327" s="50" t="s">
        <v>73</v>
      </c>
      <c r="H327" s="50" t="s">
        <v>286</v>
      </c>
      <c r="I327" s="50" t="s">
        <v>81</v>
      </c>
      <c r="J327" s="50" t="s">
        <v>286</v>
      </c>
      <c r="K327" s="50" t="s">
        <v>287</v>
      </c>
      <c r="L327" s="50" t="s">
        <v>379</v>
      </c>
      <c r="M327" s="50" t="s">
        <v>370</v>
      </c>
      <c r="N327" s="111">
        <v>5</v>
      </c>
      <c r="O327" s="111">
        <v>5</v>
      </c>
      <c r="P327" s="111">
        <v>5</v>
      </c>
      <c r="Q327" s="111">
        <v>5</v>
      </c>
      <c r="R327" s="111">
        <v>5</v>
      </c>
      <c r="S327" s="111">
        <v>6</v>
      </c>
      <c r="T327" s="111">
        <v>5</v>
      </c>
      <c r="U327" s="111">
        <v>5</v>
      </c>
      <c r="V327" s="111">
        <v>6</v>
      </c>
      <c r="W327" s="111">
        <v>6</v>
      </c>
      <c r="X327" s="111">
        <v>6</v>
      </c>
      <c r="Y327" s="111">
        <v>6</v>
      </c>
      <c r="Z327" s="111">
        <v>6</v>
      </c>
      <c r="AA327" s="111">
        <v>6</v>
      </c>
      <c r="AB327" s="111">
        <v>6</v>
      </c>
      <c r="AC327" s="111">
        <v>5</v>
      </c>
      <c r="AD327" s="111">
        <v>5</v>
      </c>
      <c r="AE327" s="111">
        <v>5</v>
      </c>
      <c r="AF327" s="111">
        <v>5</v>
      </c>
      <c r="AG327" s="111">
        <v>5</v>
      </c>
      <c r="AH327" s="111">
        <v>5</v>
      </c>
      <c r="AI327" s="111">
        <v>5</v>
      </c>
      <c r="AJ327" s="111">
        <v>4</v>
      </c>
      <c r="AK327" s="111">
        <v>5</v>
      </c>
      <c r="AL327" s="111">
        <v>5</v>
      </c>
      <c r="AM327" s="111">
        <v>5</v>
      </c>
      <c r="AN327" s="111">
        <v>5</v>
      </c>
      <c r="AO327" s="111">
        <v>5</v>
      </c>
      <c r="AP327" s="111">
        <v>5</v>
      </c>
      <c r="AQ327" s="111">
        <v>6</v>
      </c>
      <c r="AR327" s="111">
        <v>5</v>
      </c>
      <c r="AS327" s="111">
        <v>5</v>
      </c>
      <c r="AT327" s="111">
        <v>5</v>
      </c>
      <c r="AU327" s="111">
        <v>5</v>
      </c>
      <c r="AV327" s="50" t="s">
        <v>200</v>
      </c>
      <c r="AW327" s="50" t="s">
        <v>202</v>
      </c>
      <c r="AX327" s="50" t="s">
        <v>201</v>
      </c>
      <c r="AY327" s="50" t="s">
        <v>199</v>
      </c>
      <c r="AZ327" s="50" t="s">
        <v>202</v>
      </c>
      <c r="BA327" s="50" t="s">
        <v>199</v>
      </c>
      <c r="BB327" s="50" t="s">
        <v>202</v>
      </c>
      <c r="BC327" s="50" t="s">
        <v>202</v>
      </c>
      <c r="BD327" s="50" t="s">
        <v>202</v>
      </c>
      <c r="BE327" s="50" t="s">
        <v>201</v>
      </c>
      <c r="BF327" s="50" t="s">
        <v>201</v>
      </c>
      <c r="BG327" s="50" t="s">
        <v>202</v>
      </c>
      <c r="BH327" s="50" t="s">
        <v>200</v>
      </c>
      <c r="BI327" s="50" t="s">
        <v>202</v>
      </c>
      <c r="BJ327" s="50" t="s">
        <v>202</v>
      </c>
      <c r="BK327" s="50" t="s">
        <v>202</v>
      </c>
      <c r="BL327" s="50" t="s">
        <v>202</v>
      </c>
      <c r="BM327" s="50" t="s">
        <v>436</v>
      </c>
      <c r="BN327" s="50" t="s">
        <v>318</v>
      </c>
      <c r="BO327" s="50" t="s">
        <v>91</v>
      </c>
      <c r="BP327" s="50" t="s">
        <v>286</v>
      </c>
      <c r="BQ327" s="50" t="s">
        <v>287</v>
      </c>
      <c r="BR327" s="50" t="s">
        <v>398</v>
      </c>
      <c r="BS327" s="111">
        <v>5</v>
      </c>
      <c r="BT327" s="50" t="s">
        <v>286</v>
      </c>
      <c r="BU327" s="50" t="s">
        <v>348</v>
      </c>
      <c r="BV327" s="50" t="s">
        <v>288</v>
      </c>
      <c r="BW327" s="50" t="s">
        <v>350</v>
      </c>
      <c r="BX327" s="50" t="s">
        <v>387</v>
      </c>
      <c r="BY327" s="50" t="s">
        <v>288</v>
      </c>
      <c r="BZ327" s="50" t="s">
        <v>287</v>
      </c>
      <c r="CA327" s="50"/>
      <c r="CB327" s="50" t="s">
        <v>287</v>
      </c>
      <c r="CC327" s="50" t="s">
        <v>287</v>
      </c>
      <c r="CD327" s="50" t="s">
        <v>287</v>
      </c>
      <c r="CE327" s="50"/>
      <c r="CF327" s="50" t="s">
        <v>287</v>
      </c>
      <c r="CG327" s="50" t="s">
        <v>287</v>
      </c>
      <c r="CH327" s="50" t="s">
        <v>486</v>
      </c>
      <c r="CI327" s="50" t="s">
        <v>287</v>
      </c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</row>
    <row r="328" spans="1:97" ht="21.6" customHeight="1" thickBot="1">
      <c r="A328" s="49">
        <v>46106.319652777776</v>
      </c>
      <c r="B328" s="50" t="s">
        <v>39</v>
      </c>
      <c r="C328" s="50" t="s">
        <v>46</v>
      </c>
      <c r="D328" s="50" t="s">
        <v>385</v>
      </c>
      <c r="E328" s="50" t="s">
        <v>60</v>
      </c>
      <c r="F328" s="50" t="s">
        <v>440</v>
      </c>
      <c r="G328" s="50" t="s">
        <v>73</v>
      </c>
      <c r="H328" s="50" t="s">
        <v>349</v>
      </c>
      <c r="I328" s="50" t="s">
        <v>91</v>
      </c>
      <c r="J328" s="50" t="s">
        <v>286</v>
      </c>
      <c r="K328" s="50" t="s">
        <v>291</v>
      </c>
      <c r="L328" s="50" t="s">
        <v>286</v>
      </c>
      <c r="M328" s="50" t="s">
        <v>370</v>
      </c>
      <c r="N328" s="111">
        <v>5</v>
      </c>
      <c r="O328" s="111">
        <v>5</v>
      </c>
      <c r="P328" s="111">
        <v>5</v>
      </c>
      <c r="Q328" s="111">
        <v>5</v>
      </c>
      <c r="R328" s="111">
        <v>5</v>
      </c>
      <c r="S328" s="111">
        <v>6</v>
      </c>
      <c r="T328" s="111">
        <v>5</v>
      </c>
      <c r="U328" s="111">
        <v>5</v>
      </c>
      <c r="V328" s="111">
        <v>6</v>
      </c>
      <c r="W328" s="111">
        <v>6</v>
      </c>
      <c r="X328" s="111">
        <v>6</v>
      </c>
      <c r="Y328" s="111">
        <v>6</v>
      </c>
      <c r="Z328" s="111">
        <v>6</v>
      </c>
      <c r="AA328" s="111">
        <v>6</v>
      </c>
      <c r="AB328" s="111">
        <v>6</v>
      </c>
      <c r="AC328" s="111">
        <v>5</v>
      </c>
      <c r="AD328" s="111">
        <v>5</v>
      </c>
      <c r="AE328" s="111">
        <v>5</v>
      </c>
      <c r="AF328" s="111">
        <v>5</v>
      </c>
      <c r="AG328" s="111">
        <v>5</v>
      </c>
      <c r="AH328" s="111">
        <v>5</v>
      </c>
      <c r="AI328" s="111">
        <v>5</v>
      </c>
      <c r="AJ328" s="111">
        <v>5</v>
      </c>
      <c r="AK328" s="111">
        <v>5</v>
      </c>
      <c r="AL328" s="111">
        <v>5</v>
      </c>
      <c r="AM328" s="111">
        <v>5</v>
      </c>
      <c r="AN328" s="111">
        <v>5</v>
      </c>
      <c r="AO328" s="111">
        <v>5</v>
      </c>
      <c r="AP328" s="111">
        <v>5</v>
      </c>
      <c r="AQ328" s="111">
        <v>6</v>
      </c>
      <c r="AR328" s="111">
        <v>5</v>
      </c>
      <c r="AS328" s="111">
        <v>5</v>
      </c>
      <c r="AT328" s="111">
        <v>5</v>
      </c>
      <c r="AU328" s="111">
        <v>5</v>
      </c>
      <c r="AV328" s="50" t="s">
        <v>202</v>
      </c>
      <c r="AW328" s="50" t="s">
        <v>202</v>
      </c>
      <c r="AX328" s="50" t="s">
        <v>200</v>
      </c>
      <c r="AY328" s="50" t="s">
        <v>199</v>
      </c>
      <c r="AZ328" s="50" t="s">
        <v>202</v>
      </c>
      <c r="BA328" s="50" t="s">
        <v>199</v>
      </c>
      <c r="BB328" s="50" t="s">
        <v>202</v>
      </c>
      <c r="BC328" s="50" t="s">
        <v>202</v>
      </c>
      <c r="BD328" s="50" t="s">
        <v>202</v>
      </c>
      <c r="BE328" s="50" t="s">
        <v>199</v>
      </c>
      <c r="BF328" s="50" t="s">
        <v>201</v>
      </c>
      <c r="BG328" s="50" t="s">
        <v>202</v>
      </c>
      <c r="BH328" s="50" t="s">
        <v>201</v>
      </c>
      <c r="BI328" s="50" t="s">
        <v>202</v>
      </c>
      <c r="BJ328" s="50" t="s">
        <v>202</v>
      </c>
      <c r="BK328" s="50" t="s">
        <v>202</v>
      </c>
      <c r="BL328" s="50" t="s">
        <v>202</v>
      </c>
      <c r="BM328" s="50" t="s">
        <v>436</v>
      </c>
      <c r="BN328" s="50" t="s">
        <v>318</v>
      </c>
      <c r="BO328" s="50" t="s">
        <v>91</v>
      </c>
      <c r="BP328" s="50" t="s">
        <v>286</v>
      </c>
      <c r="BQ328" s="50" t="s">
        <v>287</v>
      </c>
      <c r="BR328" s="50" t="s">
        <v>372</v>
      </c>
      <c r="BS328" s="111">
        <v>5</v>
      </c>
      <c r="BT328" s="50" t="s">
        <v>286</v>
      </c>
      <c r="BU328" s="50" t="s">
        <v>348</v>
      </c>
      <c r="BV328" s="50" t="s">
        <v>288</v>
      </c>
      <c r="BW328" s="50" t="s">
        <v>350</v>
      </c>
      <c r="BX328" s="50" t="s">
        <v>387</v>
      </c>
      <c r="BY328" s="50" t="s">
        <v>288</v>
      </c>
      <c r="BZ328" s="50" t="s">
        <v>287</v>
      </c>
      <c r="CA328" s="50"/>
      <c r="CB328" s="50" t="s">
        <v>287</v>
      </c>
      <c r="CC328" s="50" t="s">
        <v>287</v>
      </c>
      <c r="CD328" s="50" t="s">
        <v>287</v>
      </c>
      <c r="CE328" s="50"/>
      <c r="CF328" s="50" t="s">
        <v>287</v>
      </c>
      <c r="CG328" s="50" t="s">
        <v>287</v>
      </c>
      <c r="CH328" s="50" t="s">
        <v>486</v>
      </c>
      <c r="CI328" s="50" t="s">
        <v>287</v>
      </c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</row>
    <row r="329" spans="1:97" ht="21.6" customHeight="1" thickBot="1">
      <c r="A329" s="49">
        <v>46106.334270833337</v>
      </c>
      <c r="B329" s="50" t="s">
        <v>40</v>
      </c>
      <c r="C329" s="50" t="s">
        <v>45</v>
      </c>
      <c r="D329" s="50" t="s">
        <v>374</v>
      </c>
      <c r="E329" s="50" t="s">
        <v>61</v>
      </c>
      <c r="F329" s="50" t="s">
        <v>286</v>
      </c>
      <c r="G329" s="50" t="s">
        <v>74</v>
      </c>
      <c r="H329" s="50" t="s">
        <v>302</v>
      </c>
      <c r="I329" s="50" t="s">
        <v>81</v>
      </c>
      <c r="J329" s="50" t="s">
        <v>286</v>
      </c>
      <c r="K329" s="50" t="s">
        <v>287</v>
      </c>
      <c r="L329" s="50" t="s">
        <v>379</v>
      </c>
      <c r="M329" s="50" t="s">
        <v>370</v>
      </c>
      <c r="N329" s="111">
        <v>5</v>
      </c>
      <c r="O329" s="111">
        <v>5</v>
      </c>
      <c r="P329" s="111">
        <v>5</v>
      </c>
      <c r="Q329" s="111">
        <v>5</v>
      </c>
      <c r="R329" s="111">
        <v>5</v>
      </c>
      <c r="S329" s="111">
        <v>6</v>
      </c>
      <c r="T329" s="111">
        <v>5</v>
      </c>
      <c r="U329" s="111">
        <v>5</v>
      </c>
      <c r="V329" s="111">
        <v>6</v>
      </c>
      <c r="W329" s="111">
        <v>6</v>
      </c>
      <c r="X329" s="111">
        <v>6</v>
      </c>
      <c r="Y329" s="111">
        <v>6</v>
      </c>
      <c r="Z329" s="111">
        <v>6</v>
      </c>
      <c r="AA329" s="111">
        <v>6</v>
      </c>
      <c r="AB329" s="111">
        <v>6</v>
      </c>
      <c r="AC329" s="111">
        <v>5</v>
      </c>
      <c r="AD329" s="111">
        <v>5</v>
      </c>
      <c r="AE329" s="111">
        <v>5</v>
      </c>
      <c r="AF329" s="111">
        <v>5</v>
      </c>
      <c r="AG329" s="111">
        <v>5</v>
      </c>
      <c r="AH329" s="111">
        <v>5</v>
      </c>
      <c r="AI329" s="111">
        <v>5</v>
      </c>
      <c r="AJ329" s="111">
        <v>5</v>
      </c>
      <c r="AK329" s="111">
        <v>5</v>
      </c>
      <c r="AL329" s="111">
        <v>5</v>
      </c>
      <c r="AM329" s="111">
        <v>5</v>
      </c>
      <c r="AN329" s="111">
        <v>5</v>
      </c>
      <c r="AO329" s="111">
        <v>5</v>
      </c>
      <c r="AP329" s="111">
        <v>5</v>
      </c>
      <c r="AQ329" s="111">
        <v>6</v>
      </c>
      <c r="AR329" s="111">
        <v>5</v>
      </c>
      <c r="AS329" s="111">
        <v>5</v>
      </c>
      <c r="AT329" s="111">
        <v>5</v>
      </c>
      <c r="AU329" s="111">
        <v>5</v>
      </c>
      <c r="AV329" s="50" t="s">
        <v>202</v>
      </c>
      <c r="AW329" s="50" t="s">
        <v>202</v>
      </c>
      <c r="AX329" s="50" t="s">
        <v>201</v>
      </c>
      <c r="AY329" s="50" t="s">
        <v>199</v>
      </c>
      <c r="AZ329" s="50" t="s">
        <v>202</v>
      </c>
      <c r="BA329" s="50" t="s">
        <v>199</v>
      </c>
      <c r="BB329" s="50" t="s">
        <v>202</v>
      </c>
      <c r="BC329" s="50" t="s">
        <v>202</v>
      </c>
      <c r="BD329" s="50" t="s">
        <v>202</v>
      </c>
      <c r="BE329" s="50" t="s">
        <v>202</v>
      </c>
      <c r="BF329" s="50" t="s">
        <v>201</v>
      </c>
      <c r="BG329" s="50" t="s">
        <v>202</v>
      </c>
      <c r="BH329" s="50" t="s">
        <v>200</v>
      </c>
      <c r="BI329" s="50" t="s">
        <v>202</v>
      </c>
      <c r="BJ329" s="50" t="s">
        <v>202</v>
      </c>
      <c r="BK329" s="50" t="s">
        <v>202</v>
      </c>
      <c r="BL329" s="50" t="s">
        <v>202</v>
      </c>
      <c r="BM329" s="50" t="s">
        <v>436</v>
      </c>
      <c r="BN329" s="50" t="s">
        <v>318</v>
      </c>
      <c r="BO329" s="50" t="s">
        <v>91</v>
      </c>
      <c r="BP329" s="50" t="s">
        <v>286</v>
      </c>
      <c r="BQ329" s="50" t="s">
        <v>287</v>
      </c>
      <c r="BR329" s="50" t="s">
        <v>372</v>
      </c>
      <c r="BS329" s="111">
        <v>5</v>
      </c>
      <c r="BT329" s="50" t="s">
        <v>286</v>
      </c>
      <c r="BU329" s="50" t="s">
        <v>348</v>
      </c>
      <c r="BV329" s="50" t="s">
        <v>288</v>
      </c>
      <c r="BW329" s="50" t="s">
        <v>350</v>
      </c>
      <c r="BX329" s="50" t="s">
        <v>387</v>
      </c>
      <c r="BY329" s="50" t="s">
        <v>288</v>
      </c>
      <c r="BZ329" s="50" t="s">
        <v>287</v>
      </c>
      <c r="CA329" s="50"/>
      <c r="CB329" s="50" t="s">
        <v>287</v>
      </c>
      <c r="CC329" s="50" t="s">
        <v>287</v>
      </c>
      <c r="CD329" s="50" t="s">
        <v>287</v>
      </c>
      <c r="CE329" s="50"/>
      <c r="CF329" s="50" t="s">
        <v>287</v>
      </c>
      <c r="CG329" s="50" t="s">
        <v>287</v>
      </c>
      <c r="CH329" s="50" t="s">
        <v>486</v>
      </c>
      <c r="CI329" s="50" t="s">
        <v>287</v>
      </c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</row>
    <row r="330" spans="1:97" ht="21.6" customHeight="1" thickBot="1">
      <c r="A330" s="49">
        <v>46106.337268518517</v>
      </c>
      <c r="B330" s="50" t="s">
        <v>40</v>
      </c>
      <c r="C330" s="50" t="s">
        <v>45</v>
      </c>
      <c r="D330" s="50" t="s">
        <v>374</v>
      </c>
      <c r="E330" s="50" t="s">
        <v>61</v>
      </c>
      <c r="F330" s="50" t="s">
        <v>286</v>
      </c>
      <c r="G330" s="50" t="s">
        <v>73</v>
      </c>
      <c r="H330" s="50" t="s">
        <v>438</v>
      </c>
      <c r="I330" s="50" t="s">
        <v>91</v>
      </c>
      <c r="J330" s="50" t="s">
        <v>286</v>
      </c>
      <c r="K330" s="50" t="s">
        <v>291</v>
      </c>
      <c r="L330" s="50" t="s">
        <v>286</v>
      </c>
      <c r="M330" s="50" t="s">
        <v>370</v>
      </c>
      <c r="N330" s="111">
        <v>5</v>
      </c>
      <c r="O330" s="111">
        <v>5</v>
      </c>
      <c r="P330" s="111">
        <v>5</v>
      </c>
      <c r="Q330" s="111">
        <v>5</v>
      </c>
      <c r="R330" s="111">
        <v>5</v>
      </c>
      <c r="S330" s="111">
        <v>6</v>
      </c>
      <c r="T330" s="111">
        <v>5</v>
      </c>
      <c r="U330" s="111">
        <v>5</v>
      </c>
      <c r="V330" s="111">
        <v>6</v>
      </c>
      <c r="W330" s="111">
        <v>6</v>
      </c>
      <c r="X330" s="111">
        <v>6</v>
      </c>
      <c r="Y330" s="111">
        <v>6</v>
      </c>
      <c r="Z330" s="111">
        <v>6</v>
      </c>
      <c r="AA330" s="111">
        <v>6</v>
      </c>
      <c r="AB330" s="111">
        <v>6</v>
      </c>
      <c r="AC330" s="111">
        <v>5</v>
      </c>
      <c r="AD330" s="111">
        <v>5</v>
      </c>
      <c r="AE330" s="111">
        <v>5</v>
      </c>
      <c r="AF330" s="111">
        <v>5</v>
      </c>
      <c r="AG330" s="111">
        <v>5</v>
      </c>
      <c r="AH330" s="111">
        <v>5</v>
      </c>
      <c r="AI330" s="111">
        <v>5</v>
      </c>
      <c r="AJ330" s="111">
        <v>5</v>
      </c>
      <c r="AK330" s="111">
        <v>3</v>
      </c>
      <c r="AL330" s="111">
        <v>5</v>
      </c>
      <c r="AM330" s="111">
        <v>5</v>
      </c>
      <c r="AN330" s="111">
        <v>5</v>
      </c>
      <c r="AO330" s="111">
        <v>5</v>
      </c>
      <c r="AP330" s="111">
        <v>5</v>
      </c>
      <c r="AQ330" s="111">
        <v>6</v>
      </c>
      <c r="AR330" s="111">
        <v>5</v>
      </c>
      <c r="AS330" s="111">
        <v>5</v>
      </c>
      <c r="AT330" s="111">
        <v>5</v>
      </c>
      <c r="AU330" s="111">
        <v>5</v>
      </c>
      <c r="AV330" s="50" t="s">
        <v>202</v>
      </c>
      <c r="AW330" s="50" t="s">
        <v>200</v>
      </c>
      <c r="AX330" s="50" t="s">
        <v>201</v>
      </c>
      <c r="AY330" s="50" t="s">
        <v>199</v>
      </c>
      <c r="AZ330" s="50" t="s">
        <v>201</v>
      </c>
      <c r="BA330" s="50" t="s">
        <v>199</v>
      </c>
      <c r="BB330" s="50" t="s">
        <v>202</v>
      </c>
      <c r="BC330" s="50" t="s">
        <v>202</v>
      </c>
      <c r="BD330" s="50" t="s">
        <v>202</v>
      </c>
      <c r="BE330" s="50" t="s">
        <v>200</v>
      </c>
      <c r="BF330" s="50" t="s">
        <v>201</v>
      </c>
      <c r="BG330" s="50" t="s">
        <v>202</v>
      </c>
      <c r="BH330" s="50" t="s">
        <v>200</v>
      </c>
      <c r="BI330" s="50" t="s">
        <v>202</v>
      </c>
      <c r="BJ330" s="50" t="s">
        <v>202</v>
      </c>
      <c r="BK330" s="50" t="s">
        <v>202</v>
      </c>
      <c r="BL330" s="50" t="s">
        <v>202</v>
      </c>
      <c r="BM330" s="50" t="s">
        <v>436</v>
      </c>
      <c r="BN330" s="50" t="s">
        <v>318</v>
      </c>
      <c r="BO330" s="50" t="s">
        <v>91</v>
      </c>
      <c r="BP330" s="50"/>
      <c r="BQ330" s="50" t="s">
        <v>287</v>
      </c>
      <c r="BR330" s="50" t="s">
        <v>372</v>
      </c>
      <c r="BS330" s="111">
        <v>5</v>
      </c>
      <c r="BT330" s="50" t="s">
        <v>286</v>
      </c>
      <c r="BU330" s="50" t="s">
        <v>348</v>
      </c>
      <c r="BV330" s="50" t="s">
        <v>288</v>
      </c>
      <c r="BW330" s="50" t="s">
        <v>350</v>
      </c>
      <c r="BX330" s="50" t="s">
        <v>387</v>
      </c>
      <c r="BY330" s="50" t="s">
        <v>288</v>
      </c>
      <c r="BZ330" s="50" t="s">
        <v>287</v>
      </c>
      <c r="CA330" s="50"/>
      <c r="CB330" s="50" t="s">
        <v>287</v>
      </c>
      <c r="CC330" s="50" t="s">
        <v>287</v>
      </c>
      <c r="CD330" s="50" t="s">
        <v>287</v>
      </c>
      <c r="CE330" s="50"/>
      <c r="CF330" s="50" t="s">
        <v>287</v>
      </c>
      <c r="CG330" s="50" t="s">
        <v>287</v>
      </c>
      <c r="CH330" s="50" t="s">
        <v>486</v>
      </c>
      <c r="CI330" s="50" t="s">
        <v>287</v>
      </c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</row>
    <row r="331" spans="1:97" ht="21.6" customHeight="1" thickBot="1">
      <c r="A331" s="49">
        <v>46106.377002314817</v>
      </c>
      <c r="B331" s="50" t="s">
        <v>39</v>
      </c>
      <c r="C331" s="50" t="s">
        <v>45</v>
      </c>
      <c r="D331" s="50" t="s">
        <v>374</v>
      </c>
      <c r="E331" s="50" t="s">
        <v>61</v>
      </c>
      <c r="F331" s="50" t="s">
        <v>286</v>
      </c>
      <c r="G331" s="50" t="s">
        <v>73</v>
      </c>
      <c r="H331" s="50" t="s">
        <v>321</v>
      </c>
      <c r="I331" s="50" t="s">
        <v>91</v>
      </c>
      <c r="J331" s="50" t="s">
        <v>286</v>
      </c>
      <c r="K331" s="50" t="s">
        <v>291</v>
      </c>
      <c r="L331" s="50" t="s">
        <v>286</v>
      </c>
      <c r="M331" s="50" t="s">
        <v>370</v>
      </c>
      <c r="N331" s="111">
        <v>5</v>
      </c>
      <c r="O331" s="111">
        <v>5</v>
      </c>
      <c r="P331" s="111">
        <v>5</v>
      </c>
      <c r="Q331" s="111">
        <v>5</v>
      </c>
      <c r="R331" s="111">
        <v>6</v>
      </c>
      <c r="S331" s="111">
        <v>6</v>
      </c>
      <c r="T331" s="111">
        <v>5</v>
      </c>
      <c r="U331" s="111">
        <v>5</v>
      </c>
      <c r="V331" s="111">
        <v>6</v>
      </c>
      <c r="W331" s="111">
        <v>6</v>
      </c>
      <c r="X331" s="111">
        <v>6</v>
      </c>
      <c r="Y331" s="111">
        <v>6</v>
      </c>
      <c r="Z331" s="111">
        <v>6</v>
      </c>
      <c r="AA331" s="111">
        <v>6</v>
      </c>
      <c r="AB331" s="111">
        <v>6</v>
      </c>
      <c r="AC331" s="111">
        <v>5</v>
      </c>
      <c r="AD331" s="111">
        <v>5</v>
      </c>
      <c r="AE331" s="111">
        <v>5</v>
      </c>
      <c r="AF331" s="111">
        <v>5</v>
      </c>
      <c r="AG331" s="111">
        <v>5</v>
      </c>
      <c r="AH331" s="111">
        <v>5</v>
      </c>
      <c r="AI331" s="111">
        <v>5</v>
      </c>
      <c r="AJ331" s="111">
        <v>5</v>
      </c>
      <c r="AK331" s="111">
        <v>5</v>
      </c>
      <c r="AL331" s="111">
        <v>5</v>
      </c>
      <c r="AM331" s="111">
        <v>5</v>
      </c>
      <c r="AN331" s="111">
        <v>5</v>
      </c>
      <c r="AO331" s="111">
        <v>5</v>
      </c>
      <c r="AP331" s="111">
        <v>5</v>
      </c>
      <c r="AQ331" s="111">
        <v>6</v>
      </c>
      <c r="AR331" s="111">
        <v>5</v>
      </c>
      <c r="AS331" s="111">
        <v>5</v>
      </c>
      <c r="AT331" s="111">
        <v>5</v>
      </c>
      <c r="AU331" s="111">
        <v>5</v>
      </c>
      <c r="AV331" s="50" t="s">
        <v>202</v>
      </c>
      <c r="AW331" s="50" t="s">
        <v>202</v>
      </c>
      <c r="AX331" s="50" t="s">
        <v>201</v>
      </c>
      <c r="AY331" s="50" t="s">
        <v>199</v>
      </c>
      <c r="AZ331" s="50" t="s">
        <v>202</v>
      </c>
      <c r="BA331" s="50" t="s">
        <v>199</v>
      </c>
      <c r="BB331" s="50" t="s">
        <v>202</v>
      </c>
      <c r="BC331" s="50" t="s">
        <v>202</v>
      </c>
      <c r="BD331" s="50" t="s">
        <v>202</v>
      </c>
      <c r="BE331" s="50" t="s">
        <v>201</v>
      </c>
      <c r="BF331" s="50" t="s">
        <v>201</v>
      </c>
      <c r="BG331" s="50" t="s">
        <v>202</v>
      </c>
      <c r="BH331" s="50" t="s">
        <v>201</v>
      </c>
      <c r="BI331" s="50" t="s">
        <v>202</v>
      </c>
      <c r="BJ331" s="50" t="s">
        <v>202</v>
      </c>
      <c r="BK331" s="50" t="s">
        <v>202</v>
      </c>
      <c r="BL331" s="50" t="s">
        <v>202</v>
      </c>
      <c r="BM331" s="50" t="s">
        <v>436</v>
      </c>
      <c r="BN331" s="50" t="s">
        <v>399</v>
      </c>
      <c r="BO331" s="50" t="s">
        <v>91</v>
      </c>
      <c r="BP331" s="50" t="s">
        <v>286</v>
      </c>
      <c r="BQ331" s="50" t="s">
        <v>287</v>
      </c>
      <c r="BR331" s="50" t="s">
        <v>448</v>
      </c>
      <c r="BS331" s="111">
        <v>5</v>
      </c>
      <c r="BT331" s="50" t="s">
        <v>286</v>
      </c>
      <c r="BU331" s="50" t="s">
        <v>348</v>
      </c>
      <c r="BV331" s="50" t="s">
        <v>288</v>
      </c>
      <c r="BW331" s="50" t="s">
        <v>350</v>
      </c>
      <c r="BX331" s="50" t="s">
        <v>387</v>
      </c>
      <c r="BY331" s="50" t="s">
        <v>288</v>
      </c>
      <c r="BZ331" s="50" t="s">
        <v>287</v>
      </c>
      <c r="CA331" s="50"/>
      <c r="CB331" s="50" t="s">
        <v>287</v>
      </c>
      <c r="CC331" s="50" t="s">
        <v>287</v>
      </c>
      <c r="CD331" s="50" t="s">
        <v>287</v>
      </c>
      <c r="CE331" s="50"/>
      <c r="CF331" s="50" t="s">
        <v>287</v>
      </c>
      <c r="CG331" s="50" t="s">
        <v>287</v>
      </c>
      <c r="CH331" s="50" t="s">
        <v>486</v>
      </c>
      <c r="CI331" s="50" t="s">
        <v>287</v>
      </c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</row>
    <row r="332" spans="1:97" ht="21.6" customHeight="1" thickBot="1">
      <c r="A332" s="49">
        <v>46106.405405092592</v>
      </c>
      <c r="B332" s="50" t="s">
        <v>36</v>
      </c>
      <c r="C332" s="50" t="s">
        <v>45</v>
      </c>
      <c r="D332" s="50" t="s">
        <v>374</v>
      </c>
      <c r="E332" s="50" t="s">
        <v>61</v>
      </c>
      <c r="F332" s="50" t="s">
        <v>286</v>
      </c>
      <c r="G332" s="50" t="s">
        <v>292</v>
      </c>
      <c r="H332" s="50" t="s">
        <v>324</v>
      </c>
      <c r="I332" s="50" t="s">
        <v>91</v>
      </c>
      <c r="J332" s="50" t="s">
        <v>286</v>
      </c>
      <c r="K332" s="50" t="s">
        <v>291</v>
      </c>
      <c r="L332" s="50" t="s">
        <v>286</v>
      </c>
      <c r="M332" s="50" t="s">
        <v>370</v>
      </c>
      <c r="N332" s="111">
        <v>5</v>
      </c>
      <c r="O332" s="111">
        <v>5</v>
      </c>
      <c r="P332" s="111">
        <v>5</v>
      </c>
      <c r="Q332" s="111">
        <v>5</v>
      </c>
      <c r="R332" s="111">
        <v>5</v>
      </c>
      <c r="S332" s="111">
        <v>6</v>
      </c>
      <c r="T332" s="111">
        <v>5</v>
      </c>
      <c r="U332" s="111">
        <v>5</v>
      </c>
      <c r="V332" s="111">
        <v>6</v>
      </c>
      <c r="W332" s="111">
        <v>6</v>
      </c>
      <c r="X332" s="111">
        <v>6</v>
      </c>
      <c r="Y332" s="111">
        <v>6</v>
      </c>
      <c r="Z332" s="111">
        <v>6</v>
      </c>
      <c r="AA332" s="111">
        <v>6</v>
      </c>
      <c r="AB332" s="111">
        <v>6</v>
      </c>
      <c r="AC332" s="111">
        <v>5</v>
      </c>
      <c r="AD332" s="111">
        <v>5</v>
      </c>
      <c r="AE332" s="111">
        <v>5</v>
      </c>
      <c r="AF332" s="111">
        <v>5</v>
      </c>
      <c r="AG332" s="111">
        <v>5</v>
      </c>
      <c r="AH332" s="111">
        <v>5</v>
      </c>
      <c r="AI332" s="111">
        <v>5</v>
      </c>
      <c r="AJ332" s="111">
        <v>5</v>
      </c>
      <c r="AK332" s="111">
        <v>5</v>
      </c>
      <c r="AL332" s="111">
        <v>5</v>
      </c>
      <c r="AM332" s="111">
        <v>5</v>
      </c>
      <c r="AN332" s="111">
        <v>5</v>
      </c>
      <c r="AO332" s="111">
        <v>5</v>
      </c>
      <c r="AP332" s="111">
        <v>5</v>
      </c>
      <c r="AQ332" s="111">
        <v>6</v>
      </c>
      <c r="AR332" s="111">
        <v>5</v>
      </c>
      <c r="AS332" s="111">
        <v>5</v>
      </c>
      <c r="AT332" s="111">
        <v>5</v>
      </c>
      <c r="AU332" s="111">
        <v>5</v>
      </c>
      <c r="AV332" s="50" t="s">
        <v>202</v>
      </c>
      <c r="AW332" s="50" t="s">
        <v>202</v>
      </c>
      <c r="AX332" s="50" t="s">
        <v>201</v>
      </c>
      <c r="AY332" s="50" t="s">
        <v>199</v>
      </c>
      <c r="AZ332" s="50" t="s">
        <v>202</v>
      </c>
      <c r="BA332" s="50" t="s">
        <v>199</v>
      </c>
      <c r="BB332" s="50" t="s">
        <v>202</v>
      </c>
      <c r="BC332" s="50" t="s">
        <v>202</v>
      </c>
      <c r="BD332" s="50" t="s">
        <v>202</v>
      </c>
      <c r="BE332" s="50" t="s">
        <v>202</v>
      </c>
      <c r="BF332" s="50" t="s">
        <v>201</v>
      </c>
      <c r="BG332" s="50" t="s">
        <v>202</v>
      </c>
      <c r="BH332" s="50" t="s">
        <v>201</v>
      </c>
      <c r="BI332" s="50" t="s">
        <v>202</v>
      </c>
      <c r="BJ332" s="50" t="s">
        <v>202</v>
      </c>
      <c r="BK332" s="50" t="s">
        <v>202</v>
      </c>
      <c r="BL332" s="50" t="s">
        <v>202</v>
      </c>
      <c r="BM332" s="50" t="s">
        <v>436</v>
      </c>
      <c r="BN332" s="50" t="s">
        <v>388</v>
      </c>
      <c r="BO332" s="50" t="s">
        <v>91</v>
      </c>
      <c r="BP332" s="50" t="s">
        <v>286</v>
      </c>
      <c r="BQ332" s="50" t="s">
        <v>287</v>
      </c>
      <c r="BR332" s="50" t="s">
        <v>372</v>
      </c>
      <c r="BS332" s="111">
        <v>5</v>
      </c>
      <c r="BT332" s="50" t="s">
        <v>286</v>
      </c>
      <c r="BU332" s="50" t="s">
        <v>348</v>
      </c>
      <c r="BV332" s="50" t="s">
        <v>288</v>
      </c>
      <c r="BW332" s="50" t="s">
        <v>350</v>
      </c>
      <c r="BX332" s="50" t="s">
        <v>387</v>
      </c>
      <c r="BY332" s="50" t="s">
        <v>288</v>
      </c>
      <c r="BZ332" s="50" t="s">
        <v>287</v>
      </c>
      <c r="CA332" s="50"/>
      <c r="CB332" s="50" t="s">
        <v>287</v>
      </c>
      <c r="CC332" s="50" t="s">
        <v>287</v>
      </c>
      <c r="CD332" s="50" t="s">
        <v>287</v>
      </c>
      <c r="CE332" s="50"/>
      <c r="CF332" s="50" t="s">
        <v>287</v>
      </c>
      <c r="CG332" s="50" t="s">
        <v>91</v>
      </c>
      <c r="CH332" s="50" t="s">
        <v>486</v>
      </c>
      <c r="CI332" s="50" t="s">
        <v>287</v>
      </c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</row>
    <row r="333" spans="1:97" ht="21.6" customHeight="1" thickBot="1">
      <c r="A333" s="49">
        <v>46106.413634259261</v>
      </c>
      <c r="B333" s="50" t="s">
        <v>38</v>
      </c>
      <c r="C333" s="50" t="s">
        <v>46</v>
      </c>
      <c r="D333" s="50" t="s">
        <v>369</v>
      </c>
      <c r="E333" s="50" t="s">
        <v>285</v>
      </c>
      <c r="F333" s="50" t="s">
        <v>286</v>
      </c>
      <c r="G333" s="50" t="s">
        <v>74</v>
      </c>
      <c r="H333" s="50" t="s">
        <v>338</v>
      </c>
      <c r="I333" s="50" t="s">
        <v>91</v>
      </c>
      <c r="J333" s="50" t="s">
        <v>286</v>
      </c>
      <c r="K333" s="50" t="s">
        <v>291</v>
      </c>
      <c r="L333" s="50" t="s">
        <v>286</v>
      </c>
      <c r="M333" s="50" t="s">
        <v>370</v>
      </c>
      <c r="N333" s="111">
        <v>5</v>
      </c>
      <c r="O333" s="111">
        <v>5</v>
      </c>
      <c r="P333" s="111">
        <v>5</v>
      </c>
      <c r="Q333" s="111">
        <v>5</v>
      </c>
      <c r="R333" s="111">
        <v>5</v>
      </c>
      <c r="S333" s="111">
        <v>6</v>
      </c>
      <c r="T333" s="111">
        <v>5</v>
      </c>
      <c r="U333" s="111">
        <v>5</v>
      </c>
      <c r="V333" s="111">
        <v>6</v>
      </c>
      <c r="W333" s="111">
        <v>6</v>
      </c>
      <c r="X333" s="111">
        <v>6</v>
      </c>
      <c r="Y333" s="111">
        <v>6</v>
      </c>
      <c r="Z333" s="111">
        <v>6</v>
      </c>
      <c r="AA333" s="111">
        <v>6</v>
      </c>
      <c r="AB333" s="111">
        <v>6</v>
      </c>
      <c r="AC333" s="111">
        <v>5</v>
      </c>
      <c r="AD333" s="111">
        <v>5</v>
      </c>
      <c r="AE333" s="111">
        <v>5</v>
      </c>
      <c r="AF333" s="111">
        <v>5</v>
      </c>
      <c r="AG333" s="111">
        <v>5</v>
      </c>
      <c r="AH333" s="111">
        <v>5</v>
      </c>
      <c r="AI333" s="111">
        <v>5</v>
      </c>
      <c r="AJ333" s="111">
        <v>5</v>
      </c>
      <c r="AK333" s="111">
        <v>5</v>
      </c>
      <c r="AL333" s="111">
        <v>5</v>
      </c>
      <c r="AM333" s="111">
        <v>5</v>
      </c>
      <c r="AN333" s="111">
        <v>5</v>
      </c>
      <c r="AO333" s="111">
        <v>5</v>
      </c>
      <c r="AP333" s="111">
        <v>5</v>
      </c>
      <c r="AQ333" s="111">
        <v>6</v>
      </c>
      <c r="AR333" s="111">
        <v>5</v>
      </c>
      <c r="AS333" s="111">
        <v>5</v>
      </c>
      <c r="AT333" s="111">
        <v>5</v>
      </c>
      <c r="AU333" s="111">
        <v>5</v>
      </c>
      <c r="AV333" s="50" t="s">
        <v>202</v>
      </c>
      <c r="AW333" s="50" t="s">
        <v>202</v>
      </c>
      <c r="AX333" s="50" t="s">
        <v>201</v>
      </c>
      <c r="AY333" s="50" t="s">
        <v>199</v>
      </c>
      <c r="AZ333" s="50" t="s">
        <v>202</v>
      </c>
      <c r="BA333" s="50" t="s">
        <v>199</v>
      </c>
      <c r="BB333" s="50" t="s">
        <v>202</v>
      </c>
      <c r="BC333" s="50" t="s">
        <v>202</v>
      </c>
      <c r="BD333" s="50" t="s">
        <v>202</v>
      </c>
      <c r="BE333" s="50" t="s">
        <v>200</v>
      </c>
      <c r="BF333" s="50" t="s">
        <v>201</v>
      </c>
      <c r="BG333" s="50" t="s">
        <v>202</v>
      </c>
      <c r="BH333" s="50" t="s">
        <v>200</v>
      </c>
      <c r="BI333" s="50" t="s">
        <v>202</v>
      </c>
      <c r="BJ333" s="50" t="s">
        <v>202</v>
      </c>
      <c r="BK333" s="50" t="s">
        <v>202</v>
      </c>
      <c r="BL333" s="50" t="s">
        <v>202</v>
      </c>
      <c r="BM333" s="50" t="s">
        <v>436</v>
      </c>
      <c r="BN333" s="50" t="s">
        <v>318</v>
      </c>
      <c r="BO333" s="50" t="s">
        <v>91</v>
      </c>
      <c r="BP333" s="50" t="s">
        <v>286</v>
      </c>
      <c r="BQ333" s="50" t="s">
        <v>287</v>
      </c>
      <c r="BR333" s="50" t="s">
        <v>372</v>
      </c>
      <c r="BS333" s="111">
        <v>5</v>
      </c>
      <c r="BT333" s="50" t="s">
        <v>286</v>
      </c>
      <c r="BU333" s="50" t="s">
        <v>348</v>
      </c>
      <c r="BV333" s="50" t="s">
        <v>288</v>
      </c>
      <c r="BW333" s="50" t="s">
        <v>303</v>
      </c>
      <c r="BX333" s="50" t="s">
        <v>455</v>
      </c>
      <c r="BY333" s="50" t="s">
        <v>288</v>
      </c>
      <c r="BZ333" s="50" t="s">
        <v>287</v>
      </c>
      <c r="CA333" s="50"/>
      <c r="CB333" s="50" t="s">
        <v>287</v>
      </c>
      <c r="CC333" s="50" t="s">
        <v>287</v>
      </c>
      <c r="CD333" s="50" t="s">
        <v>287</v>
      </c>
      <c r="CE333" s="50"/>
      <c r="CF333" s="50" t="s">
        <v>287</v>
      </c>
      <c r="CG333" s="50" t="s">
        <v>287</v>
      </c>
      <c r="CH333" s="50" t="s">
        <v>486</v>
      </c>
      <c r="CI333" s="50" t="s">
        <v>287</v>
      </c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</row>
    <row r="334" spans="1:97" ht="21.6" customHeight="1" thickBot="1">
      <c r="A334" s="49">
        <v>46106.416493055556</v>
      </c>
      <c r="B334" s="50" t="s">
        <v>40</v>
      </c>
      <c r="C334" s="50" t="s">
        <v>45</v>
      </c>
      <c r="D334" s="50" t="s">
        <v>369</v>
      </c>
      <c r="E334" s="50" t="s">
        <v>61</v>
      </c>
      <c r="F334" s="50" t="s">
        <v>286</v>
      </c>
      <c r="G334" s="50" t="s">
        <v>74</v>
      </c>
      <c r="H334" s="50" t="s">
        <v>338</v>
      </c>
      <c r="I334" s="50" t="s">
        <v>81</v>
      </c>
      <c r="J334" s="50" t="s">
        <v>286</v>
      </c>
      <c r="K334" s="50" t="s">
        <v>287</v>
      </c>
      <c r="L334" s="50" t="s">
        <v>379</v>
      </c>
      <c r="M334" s="50" t="s">
        <v>370</v>
      </c>
      <c r="N334" s="111">
        <v>5</v>
      </c>
      <c r="O334" s="111">
        <v>5</v>
      </c>
      <c r="P334" s="111">
        <v>5</v>
      </c>
      <c r="Q334" s="111">
        <v>5</v>
      </c>
      <c r="R334" s="111">
        <v>5</v>
      </c>
      <c r="S334" s="111">
        <v>6</v>
      </c>
      <c r="T334" s="111">
        <v>5</v>
      </c>
      <c r="U334" s="111">
        <v>5</v>
      </c>
      <c r="V334" s="111">
        <v>6</v>
      </c>
      <c r="W334" s="111">
        <v>6</v>
      </c>
      <c r="X334" s="111">
        <v>6</v>
      </c>
      <c r="Y334" s="111">
        <v>6</v>
      </c>
      <c r="Z334" s="111">
        <v>6</v>
      </c>
      <c r="AA334" s="111">
        <v>6</v>
      </c>
      <c r="AB334" s="111">
        <v>6</v>
      </c>
      <c r="AC334" s="111">
        <v>5</v>
      </c>
      <c r="AD334" s="111">
        <v>5</v>
      </c>
      <c r="AE334" s="111">
        <v>5</v>
      </c>
      <c r="AF334" s="111">
        <v>5</v>
      </c>
      <c r="AG334" s="111">
        <v>5</v>
      </c>
      <c r="AH334" s="111">
        <v>5</v>
      </c>
      <c r="AI334" s="111">
        <v>5</v>
      </c>
      <c r="AJ334" s="111">
        <v>5</v>
      </c>
      <c r="AK334" s="111">
        <v>5</v>
      </c>
      <c r="AL334" s="111">
        <v>5</v>
      </c>
      <c r="AM334" s="111">
        <v>5</v>
      </c>
      <c r="AN334" s="111">
        <v>5</v>
      </c>
      <c r="AO334" s="111">
        <v>5</v>
      </c>
      <c r="AP334" s="111">
        <v>5</v>
      </c>
      <c r="AQ334" s="111">
        <v>6</v>
      </c>
      <c r="AR334" s="111">
        <v>6</v>
      </c>
      <c r="AS334" s="111">
        <v>5</v>
      </c>
      <c r="AT334" s="111">
        <v>5</v>
      </c>
      <c r="AU334" s="111">
        <v>5</v>
      </c>
      <c r="AV334" s="50" t="s">
        <v>202</v>
      </c>
      <c r="AW334" s="50" t="s">
        <v>200</v>
      </c>
      <c r="AX334" s="50" t="s">
        <v>201</v>
      </c>
      <c r="AY334" s="50" t="s">
        <v>199</v>
      </c>
      <c r="AZ334" s="50" t="s">
        <v>202</v>
      </c>
      <c r="BA334" s="50" t="s">
        <v>200</v>
      </c>
      <c r="BB334" s="50" t="s">
        <v>202</v>
      </c>
      <c r="BC334" s="50" t="s">
        <v>202</v>
      </c>
      <c r="BD334" s="50" t="s">
        <v>202</v>
      </c>
      <c r="BE334" s="50" t="s">
        <v>201</v>
      </c>
      <c r="BF334" s="50" t="s">
        <v>201</v>
      </c>
      <c r="BG334" s="50" t="s">
        <v>202</v>
      </c>
      <c r="BH334" s="50" t="s">
        <v>201</v>
      </c>
      <c r="BI334" s="50" t="s">
        <v>202</v>
      </c>
      <c r="BJ334" s="50" t="s">
        <v>202</v>
      </c>
      <c r="BK334" s="50" t="s">
        <v>202</v>
      </c>
      <c r="BL334" s="50" t="s">
        <v>202</v>
      </c>
      <c r="BM334" s="50" t="s">
        <v>436</v>
      </c>
      <c r="BN334" s="50" t="s">
        <v>318</v>
      </c>
      <c r="BO334" s="50" t="s">
        <v>91</v>
      </c>
      <c r="BP334" s="50" t="s">
        <v>286</v>
      </c>
      <c r="BQ334" s="50" t="s">
        <v>287</v>
      </c>
      <c r="BR334" s="50" t="s">
        <v>448</v>
      </c>
      <c r="BS334" s="111">
        <v>5</v>
      </c>
      <c r="BT334" s="50" t="s">
        <v>286</v>
      </c>
      <c r="BU334" s="50" t="s">
        <v>348</v>
      </c>
      <c r="BV334" s="50" t="s">
        <v>288</v>
      </c>
      <c r="BW334" s="50" t="s">
        <v>350</v>
      </c>
      <c r="BX334" s="50" t="s">
        <v>294</v>
      </c>
      <c r="BY334" s="50" t="s">
        <v>288</v>
      </c>
      <c r="BZ334" s="50" t="s">
        <v>287</v>
      </c>
      <c r="CA334" s="50"/>
      <c r="CB334" s="50" t="s">
        <v>287</v>
      </c>
      <c r="CC334" s="50" t="s">
        <v>287</v>
      </c>
      <c r="CD334" s="50" t="s">
        <v>287</v>
      </c>
      <c r="CE334" s="50"/>
      <c r="CF334" s="50" t="s">
        <v>287</v>
      </c>
      <c r="CG334" s="50" t="s">
        <v>287</v>
      </c>
      <c r="CH334" s="50" t="s">
        <v>486</v>
      </c>
      <c r="CI334" s="50" t="s">
        <v>287</v>
      </c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</row>
    <row r="335" spans="1:97" ht="21.6" customHeight="1" thickBot="1">
      <c r="A335" s="49">
        <v>46106.459849537037</v>
      </c>
      <c r="B335" s="50" t="s">
        <v>34</v>
      </c>
      <c r="C335" s="50" t="s">
        <v>45</v>
      </c>
      <c r="D335" s="50" t="s">
        <v>369</v>
      </c>
      <c r="E335" s="50" t="s">
        <v>285</v>
      </c>
      <c r="F335" s="50" t="s">
        <v>286</v>
      </c>
      <c r="G335" s="50" t="s">
        <v>73</v>
      </c>
      <c r="H335" s="50" t="s">
        <v>286</v>
      </c>
      <c r="I335" s="50" t="s">
        <v>91</v>
      </c>
      <c r="J335" s="50"/>
      <c r="K335" s="50" t="s">
        <v>291</v>
      </c>
      <c r="L335" s="50" t="s">
        <v>286</v>
      </c>
      <c r="M335" s="50" t="s">
        <v>370</v>
      </c>
      <c r="N335" s="111">
        <v>5</v>
      </c>
      <c r="O335" s="111">
        <v>5</v>
      </c>
      <c r="P335" s="111">
        <v>5</v>
      </c>
      <c r="Q335" s="111">
        <v>5</v>
      </c>
      <c r="R335" s="111">
        <v>5</v>
      </c>
      <c r="S335" s="111">
        <v>6</v>
      </c>
      <c r="T335" s="111">
        <v>5</v>
      </c>
      <c r="U335" s="111">
        <v>5</v>
      </c>
      <c r="V335" s="111">
        <v>6</v>
      </c>
      <c r="W335" s="111">
        <v>6</v>
      </c>
      <c r="X335" s="111">
        <v>6</v>
      </c>
      <c r="Y335" s="111">
        <v>6</v>
      </c>
      <c r="Z335" s="111">
        <v>6</v>
      </c>
      <c r="AA335" s="111">
        <v>6</v>
      </c>
      <c r="AB335" s="111">
        <v>6</v>
      </c>
      <c r="AC335" s="111">
        <v>5</v>
      </c>
      <c r="AD335" s="111">
        <v>5</v>
      </c>
      <c r="AE335" s="111">
        <v>5</v>
      </c>
      <c r="AF335" s="111">
        <v>5</v>
      </c>
      <c r="AG335" s="111">
        <v>5</v>
      </c>
      <c r="AH335" s="111">
        <v>5</v>
      </c>
      <c r="AI335" s="111">
        <v>5</v>
      </c>
      <c r="AJ335" s="111">
        <v>5</v>
      </c>
      <c r="AK335" s="111">
        <v>5</v>
      </c>
      <c r="AL335" s="111">
        <v>5</v>
      </c>
      <c r="AM335" s="111">
        <v>5</v>
      </c>
      <c r="AN335" s="111">
        <v>5</v>
      </c>
      <c r="AO335" s="111">
        <v>5</v>
      </c>
      <c r="AP335" s="111">
        <v>5</v>
      </c>
      <c r="AQ335" s="111">
        <v>6</v>
      </c>
      <c r="AR335" s="111">
        <v>5</v>
      </c>
      <c r="AS335" s="111">
        <v>5</v>
      </c>
      <c r="AT335" s="111">
        <v>5</v>
      </c>
      <c r="AU335" s="111">
        <v>5</v>
      </c>
      <c r="AV335" s="50" t="s">
        <v>202</v>
      </c>
      <c r="AW335" s="50" t="s">
        <v>202</v>
      </c>
      <c r="AX335" s="50" t="s">
        <v>199</v>
      </c>
      <c r="AY335" s="50" t="s">
        <v>199</v>
      </c>
      <c r="AZ335" s="50" t="s">
        <v>202</v>
      </c>
      <c r="BA335" s="50" t="s">
        <v>199</v>
      </c>
      <c r="BB335" s="50" t="s">
        <v>202</v>
      </c>
      <c r="BC335" s="50" t="s">
        <v>202</v>
      </c>
      <c r="BD335" s="50" t="s">
        <v>202</v>
      </c>
      <c r="BE335" s="50" t="s">
        <v>200</v>
      </c>
      <c r="BF335" s="50" t="s">
        <v>201</v>
      </c>
      <c r="BG335" s="50" t="s">
        <v>202</v>
      </c>
      <c r="BH335" s="50" t="s">
        <v>200</v>
      </c>
      <c r="BI335" s="50" t="s">
        <v>202</v>
      </c>
      <c r="BJ335" s="50" t="s">
        <v>202</v>
      </c>
      <c r="BK335" s="50" t="s">
        <v>202</v>
      </c>
      <c r="BL335" s="50" t="s">
        <v>202</v>
      </c>
      <c r="BM335" s="50" t="s">
        <v>436</v>
      </c>
      <c r="BN335" s="50" t="s">
        <v>318</v>
      </c>
      <c r="BO335" s="50" t="s">
        <v>91</v>
      </c>
      <c r="BP335" s="50" t="s">
        <v>286</v>
      </c>
      <c r="BQ335" s="50" t="s">
        <v>287</v>
      </c>
      <c r="BR335" s="50" t="s">
        <v>392</v>
      </c>
      <c r="BS335" s="111">
        <v>5</v>
      </c>
      <c r="BT335" s="50" t="s">
        <v>286</v>
      </c>
      <c r="BU335" s="50" t="s">
        <v>348</v>
      </c>
      <c r="BV335" s="50" t="s">
        <v>288</v>
      </c>
      <c r="BW335" s="50" t="s">
        <v>350</v>
      </c>
      <c r="BX335" s="50" t="s">
        <v>387</v>
      </c>
      <c r="BY335" s="50" t="s">
        <v>288</v>
      </c>
      <c r="BZ335" s="50" t="s">
        <v>287</v>
      </c>
      <c r="CA335" s="50"/>
      <c r="CB335" s="50" t="s">
        <v>287</v>
      </c>
      <c r="CC335" s="50" t="s">
        <v>287</v>
      </c>
      <c r="CD335" s="50" t="s">
        <v>287</v>
      </c>
      <c r="CE335" s="50"/>
      <c r="CF335" s="50" t="s">
        <v>287</v>
      </c>
      <c r="CG335" s="50" t="s">
        <v>287</v>
      </c>
      <c r="CH335" s="50" t="s">
        <v>486</v>
      </c>
      <c r="CI335" s="50" t="s">
        <v>287</v>
      </c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</row>
    <row r="336" spans="1:97" ht="21.6" customHeight="1" thickBot="1">
      <c r="A336" s="49">
        <v>46106.480833333335</v>
      </c>
      <c r="B336" s="50" t="s">
        <v>38</v>
      </c>
      <c r="C336" s="50" t="s">
        <v>45</v>
      </c>
      <c r="D336" s="50" t="s">
        <v>369</v>
      </c>
      <c r="E336" s="50" t="s">
        <v>61</v>
      </c>
      <c r="F336" s="50" t="s">
        <v>286</v>
      </c>
      <c r="G336" s="50" t="s">
        <v>74</v>
      </c>
      <c r="H336" s="50" t="s">
        <v>347</v>
      </c>
      <c r="I336" s="50" t="s">
        <v>91</v>
      </c>
      <c r="J336" s="50" t="s">
        <v>286</v>
      </c>
      <c r="K336" s="50" t="s">
        <v>291</v>
      </c>
      <c r="L336" s="50" t="s">
        <v>286</v>
      </c>
      <c r="M336" s="50" t="s">
        <v>370</v>
      </c>
      <c r="N336" s="111">
        <v>5</v>
      </c>
      <c r="O336" s="111">
        <v>5</v>
      </c>
      <c r="P336" s="111">
        <v>5</v>
      </c>
      <c r="Q336" s="111">
        <v>5</v>
      </c>
      <c r="R336" s="111">
        <v>5</v>
      </c>
      <c r="S336" s="111">
        <v>6</v>
      </c>
      <c r="T336" s="111">
        <v>5</v>
      </c>
      <c r="U336" s="111">
        <v>5</v>
      </c>
      <c r="V336" s="111">
        <v>6</v>
      </c>
      <c r="W336" s="111">
        <v>6</v>
      </c>
      <c r="X336" s="111">
        <v>6</v>
      </c>
      <c r="Y336" s="111">
        <v>6</v>
      </c>
      <c r="Z336" s="111">
        <v>6</v>
      </c>
      <c r="AA336" s="111">
        <v>6</v>
      </c>
      <c r="AB336" s="111">
        <v>6</v>
      </c>
      <c r="AC336" s="111">
        <v>5</v>
      </c>
      <c r="AD336" s="111">
        <v>5</v>
      </c>
      <c r="AE336" s="111">
        <v>5</v>
      </c>
      <c r="AF336" s="111">
        <v>5</v>
      </c>
      <c r="AG336" s="111">
        <v>5</v>
      </c>
      <c r="AH336" s="111">
        <v>5</v>
      </c>
      <c r="AI336" s="111">
        <v>5</v>
      </c>
      <c r="AJ336" s="111">
        <v>5</v>
      </c>
      <c r="AK336" s="111">
        <v>5</v>
      </c>
      <c r="AL336" s="111">
        <v>5</v>
      </c>
      <c r="AM336" s="111">
        <v>5</v>
      </c>
      <c r="AN336" s="111">
        <v>5</v>
      </c>
      <c r="AO336" s="111">
        <v>5</v>
      </c>
      <c r="AP336" s="111">
        <v>5</v>
      </c>
      <c r="AQ336" s="111">
        <v>6</v>
      </c>
      <c r="AR336" s="111">
        <v>6</v>
      </c>
      <c r="AS336" s="111">
        <v>6</v>
      </c>
      <c r="AT336" s="111">
        <v>5</v>
      </c>
      <c r="AU336" s="111">
        <v>6</v>
      </c>
      <c r="AV336" s="50" t="s">
        <v>202</v>
      </c>
      <c r="AW336" s="50" t="s">
        <v>202</v>
      </c>
      <c r="AX336" s="50" t="s">
        <v>199</v>
      </c>
      <c r="AY336" s="50" t="s">
        <v>199</v>
      </c>
      <c r="AZ336" s="50" t="s">
        <v>202</v>
      </c>
      <c r="BA336" s="50" t="s">
        <v>202</v>
      </c>
      <c r="BB336" s="50" t="s">
        <v>202</v>
      </c>
      <c r="BC336" s="50" t="s">
        <v>202</v>
      </c>
      <c r="BD336" s="50" t="s">
        <v>202</v>
      </c>
      <c r="BE336" s="50" t="s">
        <v>202</v>
      </c>
      <c r="BF336" s="50" t="s">
        <v>200</v>
      </c>
      <c r="BG336" s="50" t="s">
        <v>202</v>
      </c>
      <c r="BH336" s="50" t="s">
        <v>201</v>
      </c>
      <c r="BI336" s="50" t="s">
        <v>202</v>
      </c>
      <c r="BJ336" s="50" t="s">
        <v>202</v>
      </c>
      <c r="BK336" s="50" t="s">
        <v>202</v>
      </c>
      <c r="BL336" s="50" t="s">
        <v>202</v>
      </c>
      <c r="BM336" s="50" t="s">
        <v>436</v>
      </c>
      <c r="BN336" s="50" t="s">
        <v>358</v>
      </c>
      <c r="BO336" s="50" t="s">
        <v>91</v>
      </c>
      <c r="BP336" s="50" t="s">
        <v>286</v>
      </c>
      <c r="BQ336" s="50" t="s">
        <v>287</v>
      </c>
      <c r="BR336" s="50" t="s">
        <v>582</v>
      </c>
      <c r="BS336" s="111">
        <v>4</v>
      </c>
      <c r="BT336" s="50" t="s">
        <v>286</v>
      </c>
      <c r="BU336" s="50" t="s">
        <v>348</v>
      </c>
      <c r="BV336" s="50" t="s">
        <v>288</v>
      </c>
      <c r="BW336" s="50" t="s">
        <v>350</v>
      </c>
      <c r="BX336" s="50" t="s">
        <v>290</v>
      </c>
      <c r="BY336" s="50" t="s">
        <v>288</v>
      </c>
      <c r="BZ336" s="50" t="s">
        <v>287</v>
      </c>
      <c r="CA336" s="50"/>
      <c r="CB336" s="50" t="s">
        <v>287</v>
      </c>
      <c r="CC336" s="50" t="s">
        <v>287</v>
      </c>
      <c r="CD336" s="50" t="s">
        <v>287</v>
      </c>
      <c r="CE336" s="50"/>
      <c r="CF336" s="50" t="s">
        <v>287</v>
      </c>
      <c r="CG336" s="50" t="s">
        <v>287</v>
      </c>
      <c r="CH336" s="50" t="s">
        <v>486</v>
      </c>
      <c r="CI336" s="50" t="s">
        <v>287</v>
      </c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</row>
    <row r="337" spans="1:97" ht="21.6" customHeight="1" thickBot="1">
      <c r="A337" s="49">
        <v>46106.571655092594</v>
      </c>
      <c r="B337" s="50" t="s">
        <v>40</v>
      </c>
      <c r="C337" s="50" t="s">
        <v>46</v>
      </c>
      <c r="D337" s="50" t="s">
        <v>385</v>
      </c>
      <c r="E337" s="50" t="s">
        <v>60</v>
      </c>
      <c r="F337" s="50" t="s">
        <v>440</v>
      </c>
      <c r="G337" s="50" t="s">
        <v>73</v>
      </c>
      <c r="H337" s="50" t="s">
        <v>391</v>
      </c>
      <c r="I337" s="50" t="s">
        <v>81</v>
      </c>
      <c r="J337" s="50" t="s">
        <v>286</v>
      </c>
      <c r="K337" s="50" t="s">
        <v>287</v>
      </c>
      <c r="L337" s="50" t="s">
        <v>379</v>
      </c>
      <c r="M337" s="50" t="s">
        <v>370</v>
      </c>
      <c r="N337" s="111">
        <v>5</v>
      </c>
      <c r="O337" s="111">
        <v>5</v>
      </c>
      <c r="P337" s="111">
        <v>5</v>
      </c>
      <c r="Q337" s="111">
        <v>5</v>
      </c>
      <c r="R337" s="111">
        <v>5</v>
      </c>
      <c r="S337" s="111">
        <v>6</v>
      </c>
      <c r="T337" s="111">
        <v>5</v>
      </c>
      <c r="U337" s="111">
        <v>5</v>
      </c>
      <c r="V337" s="111">
        <v>6</v>
      </c>
      <c r="W337" s="111">
        <v>6</v>
      </c>
      <c r="X337" s="111">
        <v>6</v>
      </c>
      <c r="Y337" s="111">
        <v>6</v>
      </c>
      <c r="Z337" s="111">
        <v>6</v>
      </c>
      <c r="AA337" s="111">
        <v>6</v>
      </c>
      <c r="AB337" s="111">
        <v>6</v>
      </c>
      <c r="AC337" s="111">
        <v>5</v>
      </c>
      <c r="AD337" s="111">
        <v>5</v>
      </c>
      <c r="AE337" s="111">
        <v>5</v>
      </c>
      <c r="AF337" s="111">
        <v>5</v>
      </c>
      <c r="AG337" s="111">
        <v>5</v>
      </c>
      <c r="AH337" s="111">
        <v>5</v>
      </c>
      <c r="AI337" s="111">
        <v>5</v>
      </c>
      <c r="AJ337" s="111">
        <v>5</v>
      </c>
      <c r="AK337" s="111">
        <v>5</v>
      </c>
      <c r="AL337" s="111">
        <v>5</v>
      </c>
      <c r="AM337" s="111">
        <v>5</v>
      </c>
      <c r="AN337" s="111">
        <v>5</v>
      </c>
      <c r="AO337" s="111">
        <v>5</v>
      </c>
      <c r="AP337" s="111">
        <v>5</v>
      </c>
      <c r="AQ337" s="111">
        <v>6</v>
      </c>
      <c r="AR337" s="111">
        <v>5</v>
      </c>
      <c r="AS337" s="111">
        <v>5</v>
      </c>
      <c r="AT337" s="111">
        <v>5</v>
      </c>
      <c r="AU337" s="111">
        <v>5</v>
      </c>
      <c r="AV337" s="50" t="s">
        <v>202</v>
      </c>
      <c r="AW337" s="50" t="s">
        <v>202</v>
      </c>
      <c r="AX337" s="50" t="s">
        <v>201</v>
      </c>
      <c r="AY337" s="50" t="s">
        <v>199</v>
      </c>
      <c r="AZ337" s="50" t="s">
        <v>202</v>
      </c>
      <c r="BA337" s="50" t="s">
        <v>200</v>
      </c>
      <c r="BB337" s="50" t="s">
        <v>202</v>
      </c>
      <c r="BC337" s="50" t="s">
        <v>202</v>
      </c>
      <c r="BD337" s="50" t="s">
        <v>202</v>
      </c>
      <c r="BE337" s="50" t="s">
        <v>200</v>
      </c>
      <c r="BF337" s="50" t="s">
        <v>201</v>
      </c>
      <c r="BG337" s="50" t="s">
        <v>202</v>
      </c>
      <c r="BH337" s="50" t="s">
        <v>200</v>
      </c>
      <c r="BI337" s="50" t="s">
        <v>202</v>
      </c>
      <c r="BJ337" s="50" t="s">
        <v>202</v>
      </c>
      <c r="BK337" s="50" t="s">
        <v>202</v>
      </c>
      <c r="BL337" s="50" t="s">
        <v>202</v>
      </c>
      <c r="BM337" s="50" t="s">
        <v>436</v>
      </c>
      <c r="BN337" s="50" t="s">
        <v>583</v>
      </c>
      <c r="BO337" s="50" t="s">
        <v>91</v>
      </c>
      <c r="BP337" s="50" t="s">
        <v>286</v>
      </c>
      <c r="BQ337" s="50" t="s">
        <v>287</v>
      </c>
      <c r="BR337" s="50" t="s">
        <v>372</v>
      </c>
      <c r="BS337" s="111">
        <v>5</v>
      </c>
      <c r="BT337" s="50" t="s">
        <v>286</v>
      </c>
      <c r="BU337" s="50" t="s">
        <v>348</v>
      </c>
      <c r="BV337" s="50" t="s">
        <v>288</v>
      </c>
      <c r="BW337" s="50" t="s">
        <v>350</v>
      </c>
      <c r="BX337" s="50" t="s">
        <v>387</v>
      </c>
      <c r="BY337" s="50" t="s">
        <v>288</v>
      </c>
      <c r="BZ337" s="50" t="s">
        <v>287</v>
      </c>
      <c r="CA337" s="50"/>
      <c r="CB337" s="50" t="s">
        <v>287</v>
      </c>
      <c r="CC337" s="50" t="s">
        <v>287</v>
      </c>
      <c r="CD337" s="50" t="s">
        <v>287</v>
      </c>
      <c r="CE337" s="50"/>
      <c r="CF337" s="50" t="s">
        <v>287</v>
      </c>
      <c r="CG337" s="50" t="s">
        <v>287</v>
      </c>
      <c r="CH337" s="50" t="s">
        <v>486</v>
      </c>
      <c r="CI337" s="50" t="s">
        <v>287</v>
      </c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</row>
    <row r="338" spans="1:97" ht="21.6" customHeight="1" thickBot="1">
      <c r="A338" s="49">
        <v>46106.577546296299</v>
      </c>
      <c r="B338" s="50" t="s">
        <v>36</v>
      </c>
      <c r="C338" s="50" t="s">
        <v>46</v>
      </c>
      <c r="D338" s="50" t="s">
        <v>369</v>
      </c>
      <c r="E338" s="50" t="s">
        <v>53</v>
      </c>
      <c r="F338" s="50" t="s">
        <v>286</v>
      </c>
      <c r="G338" s="50" t="s">
        <v>73</v>
      </c>
      <c r="H338" s="50" t="s">
        <v>445</v>
      </c>
      <c r="I338" s="50" t="s">
        <v>91</v>
      </c>
      <c r="J338" s="50" t="s">
        <v>286</v>
      </c>
      <c r="K338" s="50" t="s">
        <v>291</v>
      </c>
      <c r="L338" s="50" t="s">
        <v>286</v>
      </c>
      <c r="M338" s="50" t="s">
        <v>370</v>
      </c>
      <c r="N338" s="111">
        <v>5</v>
      </c>
      <c r="O338" s="111">
        <v>5</v>
      </c>
      <c r="P338" s="111">
        <v>5</v>
      </c>
      <c r="Q338" s="111">
        <v>5</v>
      </c>
      <c r="R338" s="111">
        <v>5</v>
      </c>
      <c r="S338" s="111">
        <v>6</v>
      </c>
      <c r="T338" s="111">
        <v>5</v>
      </c>
      <c r="U338" s="111">
        <v>5</v>
      </c>
      <c r="V338" s="111">
        <v>6</v>
      </c>
      <c r="W338" s="111">
        <v>6</v>
      </c>
      <c r="X338" s="111">
        <v>6</v>
      </c>
      <c r="Y338" s="111">
        <v>6</v>
      </c>
      <c r="Z338" s="111">
        <v>6</v>
      </c>
      <c r="AA338" s="111">
        <v>6</v>
      </c>
      <c r="AB338" s="111">
        <v>6</v>
      </c>
      <c r="AC338" s="111">
        <v>5</v>
      </c>
      <c r="AD338" s="111">
        <v>5</v>
      </c>
      <c r="AE338" s="111">
        <v>5</v>
      </c>
      <c r="AF338" s="111">
        <v>5</v>
      </c>
      <c r="AG338" s="111">
        <v>5</v>
      </c>
      <c r="AH338" s="111">
        <v>5</v>
      </c>
      <c r="AI338" s="111">
        <v>5</v>
      </c>
      <c r="AJ338" s="111">
        <v>5</v>
      </c>
      <c r="AK338" s="111">
        <v>5</v>
      </c>
      <c r="AL338" s="111">
        <v>5</v>
      </c>
      <c r="AM338" s="111">
        <v>5</v>
      </c>
      <c r="AN338" s="111">
        <v>5</v>
      </c>
      <c r="AO338" s="111">
        <v>5</v>
      </c>
      <c r="AP338" s="111">
        <v>5</v>
      </c>
      <c r="AQ338" s="111">
        <v>6</v>
      </c>
      <c r="AR338" s="111">
        <v>5</v>
      </c>
      <c r="AS338" s="111">
        <v>5</v>
      </c>
      <c r="AT338" s="111">
        <v>5</v>
      </c>
      <c r="AU338" s="111">
        <v>5</v>
      </c>
      <c r="AV338" s="50" t="s">
        <v>202</v>
      </c>
      <c r="AW338" s="50" t="s">
        <v>202</v>
      </c>
      <c r="AX338" s="50" t="s">
        <v>201</v>
      </c>
      <c r="AY338" s="50" t="s">
        <v>199</v>
      </c>
      <c r="AZ338" s="50" t="s">
        <v>202</v>
      </c>
      <c r="BA338" s="50" t="s">
        <v>199</v>
      </c>
      <c r="BB338" s="50" t="s">
        <v>202</v>
      </c>
      <c r="BC338" s="50" t="s">
        <v>202</v>
      </c>
      <c r="BD338" s="50" t="s">
        <v>202</v>
      </c>
      <c r="BE338" s="50" t="s">
        <v>200</v>
      </c>
      <c r="BF338" s="50" t="s">
        <v>201</v>
      </c>
      <c r="BG338" s="50" t="s">
        <v>202</v>
      </c>
      <c r="BH338" s="50" t="s">
        <v>201</v>
      </c>
      <c r="BI338" s="50" t="s">
        <v>202</v>
      </c>
      <c r="BJ338" s="50" t="s">
        <v>202</v>
      </c>
      <c r="BK338" s="50" t="s">
        <v>202</v>
      </c>
      <c r="BL338" s="50" t="s">
        <v>202</v>
      </c>
      <c r="BM338" s="50" t="s">
        <v>436</v>
      </c>
      <c r="BN338" s="50" t="s">
        <v>584</v>
      </c>
      <c r="BO338" s="50" t="s">
        <v>91</v>
      </c>
      <c r="BP338" s="50" t="s">
        <v>286</v>
      </c>
      <c r="BQ338" s="50" t="s">
        <v>287</v>
      </c>
      <c r="BR338" s="50" t="s">
        <v>372</v>
      </c>
      <c r="BS338" s="111">
        <v>5</v>
      </c>
      <c r="BT338" s="50" t="s">
        <v>286</v>
      </c>
      <c r="BU338" s="50" t="s">
        <v>348</v>
      </c>
      <c r="BV338" s="50" t="s">
        <v>288</v>
      </c>
      <c r="BW338" s="50" t="s">
        <v>350</v>
      </c>
      <c r="BX338" s="50" t="s">
        <v>387</v>
      </c>
      <c r="BY338" s="50" t="s">
        <v>288</v>
      </c>
      <c r="BZ338" s="50" t="s">
        <v>287</v>
      </c>
      <c r="CA338" s="50"/>
      <c r="CB338" s="50" t="s">
        <v>287</v>
      </c>
      <c r="CC338" s="50" t="s">
        <v>287</v>
      </c>
      <c r="CD338" s="50" t="s">
        <v>287</v>
      </c>
      <c r="CE338" s="50"/>
      <c r="CF338" s="50" t="s">
        <v>287</v>
      </c>
      <c r="CG338" s="50" t="s">
        <v>287</v>
      </c>
      <c r="CH338" s="50" t="s">
        <v>486</v>
      </c>
      <c r="CI338" s="50" t="s">
        <v>287</v>
      </c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</row>
    <row r="339" spans="1:97" ht="21.6" customHeight="1" thickBot="1">
      <c r="A339" s="49">
        <v>46106.582557870373</v>
      </c>
      <c r="B339" s="50" t="s">
        <v>39</v>
      </c>
      <c r="C339" s="50" t="s">
        <v>45</v>
      </c>
      <c r="D339" s="50" t="s">
        <v>369</v>
      </c>
      <c r="E339" s="50" t="s">
        <v>285</v>
      </c>
      <c r="F339" s="50" t="s">
        <v>286</v>
      </c>
      <c r="G339" s="50" t="s">
        <v>73</v>
      </c>
      <c r="H339" s="50" t="s">
        <v>356</v>
      </c>
      <c r="I339" s="50" t="s">
        <v>91</v>
      </c>
      <c r="J339" s="50" t="s">
        <v>286</v>
      </c>
      <c r="K339" s="50" t="s">
        <v>291</v>
      </c>
      <c r="L339" s="50" t="s">
        <v>286</v>
      </c>
      <c r="M339" s="50" t="s">
        <v>370</v>
      </c>
      <c r="N339" s="111">
        <v>5</v>
      </c>
      <c r="O339" s="111">
        <v>5</v>
      </c>
      <c r="P339" s="111">
        <v>5</v>
      </c>
      <c r="Q339" s="111">
        <v>5</v>
      </c>
      <c r="R339" s="111">
        <v>5</v>
      </c>
      <c r="S339" s="111">
        <v>6</v>
      </c>
      <c r="T339" s="111">
        <v>5</v>
      </c>
      <c r="U339" s="111">
        <v>5</v>
      </c>
      <c r="V339" s="111">
        <v>6</v>
      </c>
      <c r="W339" s="111">
        <v>6</v>
      </c>
      <c r="X339" s="111">
        <v>6</v>
      </c>
      <c r="Y339" s="111">
        <v>6</v>
      </c>
      <c r="Z339" s="111">
        <v>6</v>
      </c>
      <c r="AA339" s="111">
        <v>6</v>
      </c>
      <c r="AB339" s="111">
        <v>6</v>
      </c>
      <c r="AC339" s="111">
        <v>5</v>
      </c>
      <c r="AD339" s="111">
        <v>5</v>
      </c>
      <c r="AE339" s="111">
        <v>5</v>
      </c>
      <c r="AF339" s="111">
        <v>5</v>
      </c>
      <c r="AG339" s="111">
        <v>5</v>
      </c>
      <c r="AH339" s="111">
        <v>5</v>
      </c>
      <c r="AI339" s="111">
        <v>5</v>
      </c>
      <c r="AJ339" s="111">
        <v>5</v>
      </c>
      <c r="AK339" s="111">
        <v>5</v>
      </c>
      <c r="AL339" s="111">
        <v>5</v>
      </c>
      <c r="AM339" s="111">
        <v>5</v>
      </c>
      <c r="AN339" s="111">
        <v>5</v>
      </c>
      <c r="AO339" s="111">
        <v>5</v>
      </c>
      <c r="AP339" s="111">
        <v>5</v>
      </c>
      <c r="AQ339" s="111">
        <v>6</v>
      </c>
      <c r="AR339" s="111">
        <v>5</v>
      </c>
      <c r="AS339" s="111">
        <v>5</v>
      </c>
      <c r="AT339" s="111">
        <v>5</v>
      </c>
      <c r="AU339" s="111">
        <v>5</v>
      </c>
      <c r="AV339" s="50" t="s">
        <v>202</v>
      </c>
      <c r="AW339" s="50" t="s">
        <v>202</v>
      </c>
      <c r="AX339" s="50" t="s">
        <v>201</v>
      </c>
      <c r="AY339" s="50" t="s">
        <v>199</v>
      </c>
      <c r="AZ339" s="50" t="s">
        <v>202</v>
      </c>
      <c r="BA339" s="50" t="s">
        <v>199</v>
      </c>
      <c r="BB339" s="50" t="s">
        <v>202</v>
      </c>
      <c r="BC339" s="50" t="s">
        <v>202</v>
      </c>
      <c r="BD339" s="50" t="s">
        <v>202</v>
      </c>
      <c r="BE339" s="50" t="s">
        <v>201</v>
      </c>
      <c r="BF339" s="50" t="s">
        <v>201</v>
      </c>
      <c r="BG339" s="50" t="s">
        <v>202</v>
      </c>
      <c r="BH339" s="50" t="s">
        <v>201</v>
      </c>
      <c r="BI339" s="50" t="s">
        <v>202</v>
      </c>
      <c r="BJ339" s="50" t="s">
        <v>202</v>
      </c>
      <c r="BK339" s="50" t="s">
        <v>202</v>
      </c>
      <c r="BL339" s="50" t="s">
        <v>202</v>
      </c>
      <c r="BM339" s="50" t="s">
        <v>436</v>
      </c>
      <c r="BN339" s="50" t="s">
        <v>318</v>
      </c>
      <c r="BO339" s="50" t="s">
        <v>91</v>
      </c>
      <c r="BP339" s="50" t="s">
        <v>286</v>
      </c>
      <c r="BQ339" s="50" t="s">
        <v>287</v>
      </c>
      <c r="BR339" s="50" t="s">
        <v>372</v>
      </c>
      <c r="BS339" s="111">
        <v>5</v>
      </c>
      <c r="BT339" s="50" t="s">
        <v>286</v>
      </c>
      <c r="BU339" s="50" t="s">
        <v>348</v>
      </c>
      <c r="BV339" s="50" t="s">
        <v>288</v>
      </c>
      <c r="BW339" s="50" t="s">
        <v>350</v>
      </c>
      <c r="BX339" s="50" t="s">
        <v>387</v>
      </c>
      <c r="BY339" s="50" t="s">
        <v>288</v>
      </c>
      <c r="BZ339" s="50" t="s">
        <v>287</v>
      </c>
      <c r="CA339" s="50"/>
      <c r="CB339" s="50" t="s">
        <v>287</v>
      </c>
      <c r="CC339" s="50" t="s">
        <v>287</v>
      </c>
      <c r="CD339" s="50" t="s">
        <v>287</v>
      </c>
      <c r="CE339" s="50"/>
      <c r="CF339" s="50" t="s">
        <v>287</v>
      </c>
      <c r="CG339" s="50" t="s">
        <v>287</v>
      </c>
      <c r="CH339" s="50" t="s">
        <v>486</v>
      </c>
      <c r="CI339" s="50" t="s">
        <v>91</v>
      </c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</row>
    <row r="340" spans="1:97" ht="21.6" customHeight="1" thickBot="1">
      <c r="A340" s="49">
        <v>46106.58520833333</v>
      </c>
      <c r="B340" s="50" t="s">
        <v>40</v>
      </c>
      <c r="C340" s="50" t="s">
        <v>46</v>
      </c>
      <c r="D340" s="50" t="s">
        <v>374</v>
      </c>
      <c r="E340" s="50" t="s">
        <v>61</v>
      </c>
      <c r="F340" s="50" t="s">
        <v>375</v>
      </c>
      <c r="G340" s="50" t="s">
        <v>74</v>
      </c>
      <c r="H340" s="50" t="s">
        <v>333</v>
      </c>
      <c r="I340" s="50" t="s">
        <v>91</v>
      </c>
      <c r="J340" s="50" t="s">
        <v>286</v>
      </c>
      <c r="K340" s="50" t="s">
        <v>291</v>
      </c>
      <c r="L340" s="50" t="s">
        <v>286</v>
      </c>
      <c r="M340" s="50" t="s">
        <v>370</v>
      </c>
      <c r="N340" s="111">
        <v>5</v>
      </c>
      <c r="O340" s="111">
        <v>5</v>
      </c>
      <c r="P340" s="111">
        <v>5</v>
      </c>
      <c r="Q340" s="111">
        <v>5</v>
      </c>
      <c r="R340" s="111">
        <v>6</v>
      </c>
      <c r="S340" s="111">
        <v>6</v>
      </c>
      <c r="T340" s="111">
        <v>5</v>
      </c>
      <c r="U340" s="111">
        <v>5</v>
      </c>
      <c r="V340" s="111">
        <v>6</v>
      </c>
      <c r="W340" s="111">
        <v>6</v>
      </c>
      <c r="X340" s="111">
        <v>6</v>
      </c>
      <c r="Y340" s="111">
        <v>6</v>
      </c>
      <c r="Z340" s="111">
        <v>6</v>
      </c>
      <c r="AA340" s="111">
        <v>6</v>
      </c>
      <c r="AB340" s="111">
        <v>6</v>
      </c>
      <c r="AC340" s="111">
        <v>5</v>
      </c>
      <c r="AD340" s="111">
        <v>5</v>
      </c>
      <c r="AE340" s="111">
        <v>5</v>
      </c>
      <c r="AF340" s="111">
        <v>5</v>
      </c>
      <c r="AG340" s="111">
        <v>5</v>
      </c>
      <c r="AH340" s="111">
        <v>5</v>
      </c>
      <c r="AI340" s="111">
        <v>5</v>
      </c>
      <c r="AJ340" s="111">
        <v>5</v>
      </c>
      <c r="AK340" s="111">
        <v>5</v>
      </c>
      <c r="AL340" s="111">
        <v>5</v>
      </c>
      <c r="AM340" s="111">
        <v>5</v>
      </c>
      <c r="AN340" s="111">
        <v>5</v>
      </c>
      <c r="AO340" s="111">
        <v>5</v>
      </c>
      <c r="AP340" s="111">
        <v>5</v>
      </c>
      <c r="AQ340" s="111">
        <v>6</v>
      </c>
      <c r="AR340" s="111">
        <v>5</v>
      </c>
      <c r="AS340" s="111">
        <v>5</v>
      </c>
      <c r="AT340" s="111">
        <v>5</v>
      </c>
      <c r="AU340" s="111">
        <v>5</v>
      </c>
      <c r="AV340" s="50" t="s">
        <v>202</v>
      </c>
      <c r="AW340" s="50" t="s">
        <v>202</v>
      </c>
      <c r="AX340" s="50" t="s">
        <v>201</v>
      </c>
      <c r="AY340" s="50" t="s">
        <v>199</v>
      </c>
      <c r="AZ340" s="50" t="s">
        <v>202</v>
      </c>
      <c r="BA340" s="50" t="s">
        <v>199</v>
      </c>
      <c r="BB340" s="50" t="s">
        <v>202</v>
      </c>
      <c r="BC340" s="50" t="s">
        <v>202</v>
      </c>
      <c r="BD340" s="50" t="s">
        <v>202</v>
      </c>
      <c r="BE340" s="50" t="s">
        <v>202</v>
      </c>
      <c r="BF340" s="50" t="s">
        <v>201</v>
      </c>
      <c r="BG340" s="50" t="s">
        <v>202</v>
      </c>
      <c r="BH340" s="50" t="s">
        <v>200</v>
      </c>
      <c r="BI340" s="50" t="s">
        <v>202</v>
      </c>
      <c r="BJ340" s="50" t="s">
        <v>202</v>
      </c>
      <c r="BK340" s="50" t="s">
        <v>202</v>
      </c>
      <c r="BL340" s="50" t="s">
        <v>202</v>
      </c>
      <c r="BM340" s="50" t="s">
        <v>436</v>
      </c>
      <c r="BN340" s="50" t="s">
        <v>318</v>
      </c>
      <c r="BO340" s="50" t="s">
        <v>91</v>
      </c>
      <c r="BP340" s="50" t="s">
        <v>286</v>
      </c>
      <c r="BQ340" s="50" t="s">
        <v>287</v>
      </c>
      <c r="BR340" s="50" t="s">
        <v>372</v>
      </c>
      <c r="BS340" s="111">
        <v>5</v>
      </c>
      <c r="BT340" s="50" t="s">
        <v>286</v>
      </c>
      <c r="BU340" s="50" t="s">
        <v>348</v>
      </c>
      <c r="BV340" s="50" t="s">
        <v>288</v>
      </c>
      <c r="BW340" s="50" t="s">
        <v>350</v>
      </c>
      <c r="BX340" s="50" t="s">
        <v>387</v>
      </c>
      <c r="BY340" s="50" t="s">
        <v>288</v>
      </c>
      <c r="BZ340" s="50" t="s">
        <v>287</v>
      </c>
      <c r="CA340" s="50"/>
      <c r="CB340" s="50" t="s">
        <v>287</v>
      </c>
      <c r="CC340" s="50" t="s">
        <v>287</v>
      </c>
      <c r="CD340" s="50" t="s">
        <v>287</v>
      </c>
      <c r="CE340" s="50"/>
      <c r="CF340" s="50" t="s">
        <v>287</v>
      </c>
      <c r="CG340" s="50" t="s">
        <v>287</v>
      </c>
      <c r="CH340" s="50" t="s">
        <v>486</v>
      </c>
      <c r="CI340" s="50" t="s">
        <v>287</v>
      </c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</row>
    <row r="341" spans="1:97" ht="21.6" customHeight="1" thickBot="1">
      <c r="A341" s="49">
        <v>46106.58971064815</v>
      </c>
      <c r="B341" s="50" t="s">
        <v>36</v>
      </c>
      <c r="C341" s="50" t="s">
        <v>45</v>
      </c>
      <c r="D341" s="50" t="s">
        <v>374</v>
      </c>
      <c r="E341" s="50" t="s">
        <v>62</v>
      </c>
      <c r="F341" s="50" t="s">
        <v>286</v>
      </c>
      <c r="G341" s="50" t="s">
        <v>73</v>
      </c>
      <c r="H341" s="50" t="s">
        <v>445</v>
      </c>
      <c r="I341" s="50" t="s">
        <v>91</v>
      </c>
      <c r="J341" s="50" t="s">
        <v>286</v>
      </c>
      <c r="K341" s="50" t="s">
        <v>291</v>
      </c>
      <c r="L341" s="50" t="s">
        <v>286</v>
      </c>
      <c r="M341" s="50" t="s">
        <v>370</v>
      </c>
      <c r="N341" s="111">
        <v>5</v>
      </c>
      <c r="O341" s="111">
        <v>5</v>
      </c>
      <c r="P341" s="111">
        <v>5</v>
      </c>
      <c r="Q341" s="111">
        <v>5</v>
      </c>
      <c r="R341" s="111">
        <v>5</v>
      </c>
      <c r="S341" s="111">
        <v>6</v>
      </c>
      <c r="T341" s="111">
        <v>5</v>
      </c>
      <c r="U341" s="111">
        <v>5</v>
      </c>
      <c r="V341" s="111">
        <v>6</v>
      </c>
      <c r="W341" s="111">
        <v>6</v>
      </c>
      <c r="X341" s="111">
        <v>6</v>
      </c>
      <c r="Y341" s="111">
        <v>6</v>
      </c>
      <c r="Z341" s="111">
        <v>6</v>
      </c>
      <c r="AA341" s="111">
        <v>6</v>
      </c>
      <c r="AB341" s="111">
        <v>6</v>
      </c>
      <c r="AC341" s="111">
        <v>5</v>
      </c>
      <c r="AD341" s="111">
        <v>5</v>
      </c>
      <c r="AE341" s="111">
        <v>5</v>
      </c>
      <c r="AF341" s="111">
        <v>5</v>
      </c>
      <c r="AG341" s="111">
        <v>5</v>
      </c>
      <c r="AH341" s="111">
        <v>5</v>
      </c>
      <c r="AI341" s="111">
        <v>5</v>
      </c>
      <c r="AJ341" s="111">
        <v>5</v>
      </c>
      <c r="AK341" s="111">
        <v>5</v>
      </c>
      <c r="AL341" s="111">
        <v>5</v>
      </c>
      <c r="AM341" s="111">
        <v>5</v>
      </c>
      <c r="AN341" s="111">
        <v>5</v>
      </c>
      <c r="AO341" s="111">
        <v>5</v>
      </c>
      <c r="AP341" s="111">
        <v>5</v>
      </c>
      <c r="AQ341" s="111">
        <v>6</v>
      </c>
      <c r="AR341" s="111">
        <v>5</v>
      </c>
      <c r="AS341" s="111">
        <v>5</v>
      </c>
      <c r="AT341" s="111">
        <v>5</v>
      </c>
      <c r="AU341" s="111">
        <v>5</v>
      </c>
      <c r="AV341" s="50" t="s">
        <v>202</v>
      </c>
      <c r="AW341" s="50" t="s">
        <v>202</v>
      </c>
      <c r="AX341" s="50" t="s">
        <v>201</v>
      </c>
      <c r="AY341" s="50" t="s">
        <v>199</v>
      </c>
      <c r="AZ341" s="50" t="s">
        <v>202</v>
      </c>
      <c r="BA341" s="50" t="s">
        <v>200</v>
      </c>
      <c r="BB341" s="50" t="s">
        <v>202</v>
      </c>
      <c r="BC341" s="50" t="s">
        <v>202</v>
      </c>
      <c r="BD341" s="50" t="s">
        <v>202</v>
      </c>
      <c r="BE341" s="50" t="s">
        <v>200</v>
      </c>
      <c r="BF341" s="50" t="s">
        <v>201</v>
      </c>
      <c r="BG341" s="50" t="s">
        <v>202</v>
      </c>
      <c r="BH341" s="50" t="s">
        <v>200</v>
      </c>
      <c r="BI341" s="50" t="s">
        <v>202</v>
      </c>
      <c r="BJ341" s="50" t="s">
        <v>202</v>
      </c>
      <c r="BK341" s="50" t="s">
        <v>202</v>
      </c>
      <c r="BL341" s="50" t="s">
        <v>202</v>
      </c>
      <c r="BM341" s="50" t="s">
        <v>436</v>
      </c>
      <c r="BN341" s="50" t="s">
        <v>399</v>
      </c>
      <c r="BO341" s="50" t="s">
        <v>91</v>
      </c>
      <c r="BP341" s="50" t="s">
        <v>286</v>
      </c>
      <c r="BQ341" s="50" t="s">
        <v>287</v>
      </c>
      <c r="BR341" s="50" t="s">
        <v>372</v>
      </c>
      <c r="BS341" s="111">
        <v>5</v>
      </c>
      <c r="BT341" s="50" t="s">
        <v>286</v>
      </c>
      <c r="BU341" s="50" t="s">
        <v>348</v>
      </c>
      <c r="BV341" s="50" t="s">
        <v>288</v>
      </c>
      <c r="BW341" s="50" t="s">
        <v>350</v>
      </c>
      <c r="BX341" s="50" t="s">
        <v>387</v>
      </c>
      <c r="BY341" s="50" t="s">
        <v>288</v>
      </c>
      <c r="BZ341" s="50" t="s">
        <v>287</v>
      </c>
      <c r="CA341" s="50"/>
      <c r="CB341" s="50" t="s">
        <v>287</v>
      </c>
      <c r="CC341" s="50" t="s">
        <v>287</v>
      </c>
      <c r="CD341" s="50" t="s">
        <v>287</v>
      </c>
      <c r="CE341" s="50"/>
      <c r="CF341" s="50" t="s">
        <v>287</v>
      </c>
      <c r="CG341" s="50" t="s">
        <v>287</v>
      </c>
      <c r="CH341" s="50" t="s">
        <v>486</v>
      </c>
      <c r="CI341" s="50" t="s">
        <v>287</v>
      </c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</row>
    <row r="342" spans="1:97" ht="21.6" customHeight="1" thickBot="1">
      <c r="A342" s="49">
        <v>46106.64640046296</v>
      </c>
      <c r="B342" s="50" t="s">
        <v>38</v>
      </c>
      <c r="C342" s="50" t="s">
        <v>45</v>
      </c>
      <c r="D342" s="50" t="s">
        <v>369</v>
      </c>
      <c r="E342" s="50" t="s">
        <v>285</v>
      </c>
      <c r="F342" s="50" t="s">
        <v>286</v>
      </c>
      <c r="G342" s="50" t="s">
        <v>73</v>
      </c>
      <c r="H342" s="50" t="s">
        <v>400</v>
      </c>
      <c r="I342" s="50" t="s">
        <v>91</v>
      </c>
      <c r="J342" s="50" t="s">
        <v>286</v>
      </c>
      <c r="K342" s="50" t="s">
        <v>291</v>
      </c>
      <c r="L342" s="50" t="s">
        <v>286</v>
      </c>
      <c r="M342" s="50" t="s">
        <v>370</v>
      </c>
      <c r="N342" s="111">
        <v>5</v>
      </c>
      <c r="O342" s="111">
        <v>5</v>
      </c>
      <c r="P342" s="111">
        <v>5</v>
      </c>
      <c r="Q342" s="111">
        <v>5</v>
      </c>
      <c r="R342" s="111">
        <v>6</v>
      </c>
      <c r="S342" s="111">
        <v>6</v>
      </c>
      <c r="T342" s="111">
        <v>5</v>
      </c>
      <c r="U342" s="111">
        <v>5</v>
      </c>
      <c r="V342" s="111">
        <v>6</v>
      </c>
      <c r="W342" s="111">
        <v>6</v>
      </c>
      <c r="X342" s="111">
        <v>6</v>
      </c>
      <c r="Y342" s="111">
        <v>6</v>
      </c>
      <c r="Z342" s="111">
        <v>6</v>
      </c>
      <c r="AA342" s="111">
        <v>6</v>
      </c>
      <c r="AB342" s="111">
        <v>6</v>
      </c>
      <c r="AC342" s="111">
        <v>5</v>
      </c>
      <c r="AD342" s="111">
        <v>5</v>
      </c>
      <c r="AE342" s="111">
        <v>5</v>
      </c>
      <c r="AF342" s="111">
        <v>5</v>
      </c>
      <c r="AG342" s="111">
        <v>5</v>
      </c>
      <c r="AH342" s="111">
        <v>5</v>
      </c>
      <c r="AI342" s="111">
        <v>5</v>
      </c>
      <c r="AJ342" s="111">
        <v>5</v>
      </c>
      <c r="AK342" s="111">
        <v>5</v>
      </c>
      <c r="AL342" s="111">
        <v>5</v>
      </c>
      <c r="AM342" s="111">
        <v>5</v>
      </c>
      <c r="AN342" s="111">
        <v>5</v>
      </c>
      <c r="AO342" s="111">
        <v>5</v>
      </c>
      <c r="AP342" s="111">
        <v>5</v>
      </c>
      <c r="AQ342" s="111">
        <v>6</v>
      </c>
      <c r="AR342" s="111">
        <v>5</v>
      </c>
      <c r="AS342" s="111">
        <v>5</v>
      </c>
      <c r="AT342" s="111">
        <v>5</v>
      </c>
      <c r="AU342" s="111">
        <v>5</v>
      </c>
      <c r="AV342" s="50" t="s">
        <v>202</v>
      </c>
      <c r="AW342" s="50" t="s">
        <v>202</v>
      </c>
      <c r="AX342" s="50" t="s">
        <v>201</v>
      </c>
      <c r="AY342" s="50" t="s">
        <v>199</v>
      </c>
      <c r="AZ342" s="50" t="s">
        <v>202</v>
      </c>
      <c r="BA342" s="50" t="s">
        <v>200</v>
      </c>
      <c r="BB342" s="50" t="s">
        <v>202</v>
      </c>
      <c r="BC342" s="50" t="s">
        <v>202</v>
      </c>
      <c r="BD342" s="50" t="s">
        <v>202</v>
      </c>
      <c r="BE342" s="50" t="s">
        <v>200</v>
      </c>
      <c r="BF342" s="50" t="s">
        <v>201</v>
      </c>
      <c r="BG342" s="50" t="s">
        <v>202</v>
      </c>
      <c r="BH342" s="50" t="s">
        <v>201</v>
      </c>
      <c r="BI342" s="50" t="s">
        <v>202</v>
      </c>
      <c r="BJ342" s="50" t="s">
        <v>202</v>
      </c>
      <c r="BK342" s="50" t="s">
        <v>202</v>
      </c>
      <c r="BL342" s="50" t="s">
        <v>202</v>
      </c>
      <c r="BM342" s="50" t="s">
        <v>436</v>
      </c>
      <c r="BN342" s="50" t="s">
        <v>480</v>
      </c>
      <c r="BO342" s="50" t="s">
        <v>91</v>
      </c>
      <c r="BP342" s="50" t="s">
        <v>286</v>
      </c>
      <c r="BQ342" s="50" t="s">
        <v>287</v>
      </c>
      <c r="BR342" s="50" t="s">
        <v>372</v>
      </c>
      <c r="BS342" s="111">
        <v>5</v>
      </c>
      <c r="BT342" s="50" t="s">
        <v>286</v>
      </c>
      <c r="BU342" s="50" t="s">
        <v>348</v>
      </c>
      <c r="BV342" s="50" t="s">
        <v>288</v>
      </c>
      <c r="BW342" s="50" t="s">
        <v>350</v>
      </c>
      <c r="BX342" s="50" t="s">
        <v>387</v>
      </c>
      <c r="BY342" s="50" t="s">
        <v>288</v>
      </c>
      <c r="BZ342" s="50" t="s">
        <v>287</v>
      </c>
      <c r="CA342" s="50"/>
      <c r="CB342" s="50" t="s">
        <v>287</v>
      </c>
      <c r="CC342" s="50" t="s">
        <v>287</v>
      </c>
      <c r="CD342" s="50" t="s">
        <v>287</v>
      </c>
      <c r="CE342" s="50"/>
      <c r="CF342" s="50" t="s">
        <v>287</v>
      </c>
      <c r="CG342" s="50" t="s">
        <v>287</v>
      </c>
      <c r="CH342" s="50" t="s">
        <v>486</v>
      </c>
      <c r="CI342" s="50" t="s">
        <v>287</v>
      </c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</row>
    <row r="343" spans="1:97" ht="21.6" customHeight="1" thickBot="1">
      <c r="A343" s="49">
        <v>46106.64980324074</v>
      </c>
      <c r="B343" s="50" t="s">
        <v>38</v>
      </c>
      <c r="C343" s="50" t="s">
        <v>45</v>
      </c>
      <c r="D343" s="50" t="s">
        <v>369</v>
      </c>
      <c r="E343" s="50" t="s">
        <v>285</v>
      </c>
      <c r="F343" s="50" t="s">
        <v>286</v>
      </c>
      <c r="G343" s="50" t="s">
        <v>73</v>
      </c>
      <c r="H343" s="50" t="s">
        <v>356</v>
      </c>
      <c r="I343" s="50" t="s">
        <v>91</v>
      </c>
      <c r="J343" s="50" t="s">
        <v>286</v>
      </c>
      <c r="K343" s="50" t="s">
        <v>291</v>
      </c>
      <c r="L343" s="50" t="s">
        <v>286</v>
      </c>
      <c r="M343" s="50" t="s">
        <v>370</v>
      </c>
      <c r="N343" s="111">
        <v>5</v>
      </c>
      <c r="O343" s="111">
        <v>5</v>
      </c>
      <c r="P343" s="111">
        <v>5</v>
      </c>
      <c r="Q343" s="111">
        <v>5</v>
      </c>
      <c r="R343" s="111">
        <v>5</v>
      </c>
      <c r="S343" s="111">
        <v>6</v>
      </c>
      <c r="T343" s="111">
        <v>5</v>
      </c>
      <c r="U343" s="111">
        <v>5</v>
      </c>
      <c r="V343" s="111">
        <v>6</v>
      </c>
      <c r="W343" s="111">
        <v>6</v>
      </c>
      <c r="X343" s="111">
        <v>6</v>
      </c>
      <c r="Y343" s="111">
        <v>6</v>
      </c>
      <c r="Z343" s="111">
        <v>6</v>
      </c>
      <c r="AA343" s="111">
        <v>6</v>
      </c>
      <c r="AB343" s="111">
        <v>6</v>
      </c>
      <c r="AC343" s="111">
        <v>5</v>
      </c>
      <c r="AD343" s="111">
        <v>5</v>
      </c>
      <c r="AE343" s="111">
        <v>5</v>
      </c>
      <c r="AF343" s="111">
        <v>5</v>
      </c>
      <c r="AG343" s="111">
        <v>5</v>
      </c>
      <c r="AH343" s="111">
        <v>5</v>
      </c>
      <c r="AI343" s="111">
        <v>5</v>
      </c>
      <c r="AJ343" s="111">
        <v>5</v>
      </c>
      <c r="AK343" s="111">
        <v>5</v>
      </c>
      <c r="AL343" s="111">
        <v>5</v>
      </c>
      <c r="AM343" s="111">
        <v>5</v>
      </c>
      <c r="AN343" s="111">
        <v>5</v>
      </c>
      <c r="AO343" s="111">
        <v>5</v>
      </c>
      <c r="AP343" s="111">
        <v>5</v>
      </c>
      <c r="AQ343" s="111">
        <v>5</v>
      </c>
      <c r="AR343" s="111">
        <v>5</v>
      </c>
      <c r="AS343" s="111">
        <v>5</v>
      </c>
      <c r="AT343" s="111">
        <v>5</v>
      </c>
      <c r="AU343" s="111">
        <v>5</v>
      </c>
      <c r="AV343" s="50" t="s">
        <v>200</v>
      </c>
      <c r="AW343" s="50" t="s">
        <v>202</v>
      </c>
      <c r="AX343" s="50" t="s">
        <v>201</v>
      </c>
      <c r="AY343" s="50" t="s">
        <v>199</v>
      </c>
      <c r="AZ343" s="50" t="s">
        <v>202</v>
      </c>
      <c r="BA343" s="50" t="s">
        <v>200</v>
      </c>
      <c r="BB343" s="50" t="s">
        <v>202</v>
      </c>
      <c r="BC343" s="50" t="s">
        <v>202</v>
      </c>
      <c r="BD343" s="50" t="s">
        <v>202</v>
      </c>
      <c r="BE343" s="50" t="s">
        <v>200</v>
      </c>
      <c r="BF343" s="50" t="s">
        <v>201</v>
      </c>
      <c r="BG343" s="50" t="s">
        <v>202</v>
      </c>
      <c r="BH343" s="50" t="s">
        <v>201</v>
      </c>
      <c r="BI343" s="50" t="s">
        <v>202</v>
      </c>
      <c r="BJ343" s="50" t="s">
        <v>202</v>
      </c>
      <c r="BK343" s="50" t="s">
        <v>202</v>
      </c>
      <c r="BL343" s="50" t="s">
        <v>202</v>
      </c>
      <c r="BM343" s="50" t="s">
        <v>436</v>
      </c>
      <c r="BN343" s="50" t="s">
        <v>585</v>
      </c>
      <c r="BO343" s="50" t="s">
        <v>91</v>
      </c>
      <c r="BP343" s="50" t="s">
        <v>286</v>
      </c>
      <c r="BQ343" s="50" t="s">
        <v>287</v>
      </c>
      <c r="BR343" s="50" t="s">
        <v>380</v>
      </c>
      <c r="BS343" s="111">
        <v>5</v>
      </c>
      <c r="BT343" s="50" t="s">
        <v>286</v>
      </c>
      <c r="BU343" s="50" t="s">
        <v>348</v>
      </c>
      <c r="BV343" s="50" t="s">
        <v>288</v>
      </c>
      <c r="BW343" s="50" t="s">
        <v>350</v>
      </c>
      <c r="BX343" s="50" t="s">
        <v>455</v>
      </c>
      <c r="BY343" s="50" t="s">
        <v>288</v>
      </c>
      <c r="BZ343" s="50" t="s">
        <v>287</v>
      </c>
      <c r="CA343" s="50"/>
      <c r="CB343" s="50" t="s">
        <v>287</v>
      </c>
      <c r="CC343" s="50" t="s">
        <v>287</v>
      </c>
      <c r="CD343" s="50" t="s">
        <v>287</v>
      </c>
      <c r="CE343" s="50"/>
      <c r="CF343" s="50" t="s">
        <v>287</v>
      </c>
      <c r="CG343" s="50" t="s">
        <v>287</v>
      </c>
      <c r="CH343" s="50" t="s">
        <v>486</v>
      </c>
      <c r="CI343" s="50" t="s">
        <v>287</v>
      </c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</row>
    <row r="344" spans="1:97" ht="21.6" customHeight="1" thickBot="1">
      <c r="A344" s="49">
        <v>46106.652129629627</v>
      </c>
      <c r="B344" s="50" t="s">
        <v>40</v>
      </c>
      <c r="C344" s="50" t="s">
        <v>45</v>
      </c>
      <c r="D344" s="50" t="s">
        <v>374</v>
      </c>
      <c r="E344" s="50" t="s">
        <v>61</v>
      </c>
      <c r="F344" s="50" t="s">
        <v>286</v>
      </c>
      <c r="G344" s="50" t="s">
        <v>73</v>
      </c>
      <c r="H344" s="50" t="s">
        <v>401</v>
      </c>
      <c r="I344" s="50" t="s">
        <v>81</v>
      </c>
      <c r="J344" s="50" t="s">
        <v>286</v>
      </c>
      <c r="K344" s="50" t="s">
        <v>287</v>
      </c>
      <c r="L344" s="50" t="s">
        <v>379</v>
      </c>
      <c r="M344" s="50" t="s">
        <v>370</v>
      </c>
      <c r="N344" s="111">
        <v>5</v>
      </c>
      <c r="O344" s="111">
        <v>5</v>
      </c>
      <c r="P344" s="111">
        <v>5</v>
      </c>
      <c r="Q344" s="111">
        <v>5</v>
      </c>
      <c r="R344" s="111">
        <v>5</v>
      </c>
      <c r="S344" s="111">
        <v>6</v>
      </c>
      <c r="T344" s="111">
        <v>4</v>
      </c>
      <c r="U344" s="111">
        <v>5</v>
      </c>
      <c r="V344" s="111">
        <v>6</v>
      </c>
      <c r="W344" s="111">
        <v>6</v>
      </c>
      <c r="X344" s="111">
        <v>6</v>
      </c>
      <c r="Y344" s="111">
        <v>6</v>
      </c>
      <c r="Z344" s="111">
        <v>6</v>
      </c>
      <c r="AA344" s="111">
        <v>6</v>
      </c>
      <c r="AB344" s="111">
        <v>7</v>
      </c>
      <c r="AC344" s="111">
        <v>5</v>
      </c>
      <c r="AD344" s="111">
        <v>5</v>
      </c>
      <c r="AE344" s="111">
        <v>5</v>
      </c>
      <c r="AF344" s="111">
        <v>5</v>
      </c>
      <c r="AG344" s="111">
        <v>5</v>
      </c>
      <c r="AH344" s="111">
        <v>5</v>
      </c>
      <c r="AI344" s="111">
        <v>5</v>
      </c>
      <c r="AJ344" s="111">
        <v>5</v>
      </c>
      <c r="AK344" s="111">
        <v>5</v>
      </c>
      <c r="AL344" s="111">
        <v>5</v>
      </c>
      <c r="AM344" s="111">
        <v>5</v>
      </c>
      <c r="AN344" s="111">
        <v>5</v>
      </c>
      <c r="AO344" s="111">
        <v>5</v>
      </c>
      <c r="AP344" s="111">
        <v>5</v>
      </c>
      <c r="AQ344" s="111">
        <v>6</v>
      </c>
      <c r="AR344" s="111">
        <v>5</v>
      </c>
      <c r="AS344" s="111">
        <v>5</v>
      </c>
      <c r="AT344" s="111">
        <v>5</v>
      </c>
      <c r="AU344" s="111">
        <v>5</v>
      </c>
      <c r="AV344" s="50" t="s">
        <v>202</v>
      </c>
      <c r="AW344" s="50" t="s">
        <v>200</v>
      </c>
      <c r="AX344" s="50" t="s">
        <v>201</v>
      </c>
      <c r="AY344" s="50" t="s">
        <v>199</v>
      </c>
      <c r="AZ344" s="50" t="s">
        <v>202</v>
      </c>
      <c r="BA344" s="50" t="s">
        <v>200</v>
      </c>
      <c r="BB344" s="50" t="s">
        <v>202</v>
      </c>
      <c r="BC344" s="50" t="s">
        <v>202</v>
      </c>
      <c r="BD344" s="50" t="s">
        <v>202</v>
      </c>
      <c r="BE344" s="50" t="s">
        <v>200</v>
      </c>
      <c r="BF344" s="50" t="s">
        <v>201</v>
      </c>
      <c r="BG344" s="50" t="s">
        <v>202</v>
      </c>
      <c r="BH344" s="50" t="s">
        <v>200</v>
      </c>
      <c r="BI344" s="50" t="s">
        <v>202</v>
      </c>
      <c r="BJ344" s="50" t="s">
        <v>202</v>
      </c>
      <c r="BK344" s="50" t="s">
        <v>202</v>
      </c>
      <c r="BL344" s="50" t="s">
        <v>202</v>
      </c>
      <c r="BM344" s="50" t="s">
        <v>436</v>
      </c>
      <c r="BN344" s="50" t="s">
        <v>389</v>
      </c>
      <c r="BO344" s="50" t="s">
        <v>91</v>
      </c>
      <c r="BP344" s="50" t="s">
        <v>286</v>
      </c>
      <c r="BQ344" s="50" t="s">
        <v>287</v>
      </c>
      <c r="BR344" s="50" t="s">
        <v>372</v>
      </c>
      <c r="BS344" s="111">
        <v>5</v>
      </c>
      <c r="BT344" s="50" t="s">
        <v>286</v>
      </c>
      <c r="BU344" s="50" t="s">
        <v>348</v>
      </c>
      <c r="BV344" s="50" t="s">
        <v>288</v>
      </c>
      <c r="BW344" s="50" t="s">
        <v>350</v>
      </c>
      <c r="BX344" s="50" t="s">
        <v>387</v>
      </c>
      <c r="BY344" s="50" t="s">
        <v>288</v>
      </c>
      <c r="BZ344" s="50" t="s">
        <v>287</v>
      </c>
      <c r="CA344" s="50"/>
      <c r="CB344" s="50" t="s">
        <v>287</v>
      </c>
      <c r="CC344" s="50" t="s">
        <v>287</v>
      </c>
      <c r="CD344" s="50" t="s">
        <v>287</v>
      </c>
      <c r="CE344" s="50"/>
      <c r="CF344" s="50" t="s">
        <v>287</v>
      </c>
      <c r="CG344" s="50" t="s">
        <v>287</v>
      </c>
      <c r="CH344" s="50" t="s">
        <v>486</v>
      </c>
      <c r="CI344" s="50" t="s">
        <v>287</v>
      </c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</row>
    <row r="345" spans="1:97" ht="21.6" customHeight="1" thickBot="1">
      <c r="A345" s="49">
        <v>46106.661550925928</v>
      </c>
      <c r="B345" s="50" t="s">
        <v>33</v>
      </c>
      <c r="C345" s="50" t="s">
        <v>46</v>
      </c>
      <c r="D345" s="50" t="s">
        <v>374</v>
      </c>
      <c r="E345" s="50" t="s">
        <v>62</v>
      </c>
      <c r="F345" s="50" t="s">
        <v>286</v>
      </c>
      <c r="G345" s="50" t="s">
        <v>74</v>
      </c>
      <c r="H345" s="50" t="s">
        <v>586</v>
      </c>
      <c r="I345" s="50" t="s">
        <v>91</v>
      </c>
      <c r="J345" s="50" t="s">
        <v>286</v>
      </c>
      <c r="K345" s="50" t="s">
        <v>291</v>
      </c>
      <c r="L345" s="50" t="s">
        <v>286</v>
      </c>
      <c r="M345" s="50" t="s">
        <v>370</v>
      </c>
      <c r="N345" s="111">
        <v>5</v>
      </c>
      <c r="O345" s="111">
        <v>5</v>
      </c>
      <c r="P345" s="111">
        <v>5</v>
      </c>
      <c r="Q345" s="111">
        <v>5</v>
      </c>
      <c r="R345" s="111">
        <v>5</v>
      </c>
      <c r="S345" s="111">
        <v>6</v>
      </c>
      <c r="T345" s="111">
        <v>5</v>
      </c>
      <c r="U345" s="111">
        <v>5</v>
      </c>
      <c r="V345" s="111">
        <v>6</v>
      </c>
      <c r="W345" s="111">
        <v>6</v>
      </c>
      <c r="X345" s="111">
        <v>6</v>
      </c>
      <c r="Y345" s="111">
        <v>6</v>
      </c>
      <c r="Z345" s="111">
        <v>6</v>
      </c>
      <c r="AA345" s="111">
        <v>6</v>
      </c>
      <c r="AB345" s="111">
        <v>6</v>
      </c>
      <c r="AC345" s="111">
        <v>5</v>
      </c>
      <c r="AD345" s="111">
        <v>5</v>
      </c>
      <c r="AE345" s="111">
        <v>5</v>
      </c>
      <c r="AF345" s="111">
        <v>5</v>
      </c>
      <c r="AG345" s="111">
        <v>5</v>
      </c>
      <c r="AH345" s="111">
        <v>5</v>
      </c>
      <c r="AI345" s="111">
        <v>5</v>
      </c>
      <c r="AJ345" s="111">
        <v>5</v>
      </c>
      <c r="AK345" s="111">
        <v>5</v>
      </c>
      <c r="AL345" s="111">
        <v>5</v>
      </c>
      <c r="AM345" s="111">
        <v>5</v>
      </c>
      <c r="AN345" s="111">
        <v>5</v>
      </c>
      <c r="AO345" s="111">
        <v>5</v>
      </c>
      <c r="AP345" s="111">
        <v>5</v>
      </c>
      <c r="AQ345" s="111">
        <v>6</v>
      </c>
      <c r="AR345" s="111">
        <v>5</v>
      </c>
      <c r="AS345" s="111">
        <v>5</v>
      </c>
      <c r="AT345" s="111">
        <v>5</v>
      </c>
      <c r="AU345" s="111">
        <v>5</v>
      </c>
      <c r="AV345" s="50" t="s">
        <v>202</v>
      </c>
      <c r="AW345" s="50" t="s">
        <v>202</v>
      </c>
      <c r="AX345" s="50" t="s">
        <v>200</v>
      </c>
      <c r="AY345" s="50" t="s">
        <v>199</v>
      </c>
      <c r="AZ345" s="50" t="s">
        <v>202</v>
      </c>
      <c r="BA345" s="50" t="s">
        <v>199</v>
      </c>
      <c r="BB345" s="50" t="s">
        <v>202</v>
      </c>
      <c r="BC345" s="50" t="s">
        <v>202</v>
      </c>
      <c r="BD345" s="50" t="s">
        <v>202</v>
      </c>
      <c r="BE345" s="50" t="s">
        <v>200</v>
      </c>
      <c r="BF345" s="50" t="s">
        <v>201</v>
      </c>
      <c r="BG345" s="50" t="s">
        <v>202</v>
      </c>
      <c r="BH345" s="50" t="s">
        <v>200</v>
      </c>
      <c r="BI345" s="50" t="s">
        <v>202</v>
      </c>
      <c r="BJ345" s="50" t="s">
        <v>202</v>
      </c>
      <c r="BK345" s="50" t="s">
        <v>202</v>
      </c>
      <c r="BL345" s="50" t="s">
        <v>202</v>
      </c>
      <c r="BM345" s="50" t="s">
        <v>436</v>
      </c>
      <c r="BN345" s="50" t="s">
        <v>587</v>
      </c>
      <c r="BO345" s="50" t="s">
        <v>91</v>
      </c>
      <c r="BP345" s="50" t="s">
        <v>286</v>
      </c>
      <c r="BQ345" s="50" t="s">
        <v>287</v>
      </c>
      <c r="BR345" s="50" t="s">
        <v>448</v>
      </c>
      <c r="BS345" s="111">
        <v>5</v>
      </c>
      <c r="BT345" s="50" t="s">
        <v>286</v>
      </c>
      <c r="BU345" s="50" t="s">
        <v>348</v>
      </c>
      <c r="BV345" s="50" t="s">
        <v>288</v>
      </c>
      <c r="BW345" s="50" t="s">
        <v>350</v>
      </c>
      <c r="BX345" s="50" t="s">
        <v>387</v>
      </c>
      <c r="BY345" s="50" t="s">
        <v>288</v>
      </c>
      <c r="BZ345" s="50" t="s">
        <v>287</v>
      </c>
      <c r="CA345" s="50"/>
      <c r="CB345" s="50" t="s">
        <v>287</v>
      </c>
      <c r="CC345" s="50" t="s">
        <v>287</v>
      </c>
      <c r="CD345" s="50" t="s">
        <v>287</v>
      </c>
      <c r="CE345" s="50"/>
      <c r="CF345" s="50" t="s">
        <v>287</v>
      </c>
      <c r="CG345" s="50" t="s">
        <v>287</v>
      </c>
      <c r="CH345" s="50" t="s">
        <v>486</v>
      </c>
      <c r="CI345" s="50" t="s">
        <v>287</v>
      </c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</row>
    <row r="346" spans="1:97" ht="21.6" customHeight="1" thickBot="1">
      <c r="A346" s="49">
        <v>46106.665856481479</v>
      </c>
      <c r="B346" s="50" t="s">
        <v>39</v>
      </c>
      <c r="C346" s="50" t="s">
        <v>45</v>
      </c>
      <c r="D346" s="50" t="s">
        <v>369</v>
      </c>
      <c r="E346" s="50" t="s">
        <v>56</v>
      </c>
      <c r="F346" s="50" t="s">
        <v>286</v>
      </c>
      <c r="G346" s="50" t="s">
        <v>74</v>
      </c>
      <c r="H346" s="50" t="s">
        <v>588</v>
      </c>
      <c r="I346" s="50" t="s">
        <v>91</v>
      </c>
      <c r="J346" s="50" t="s">
        <v>286</v>
      </c>
      <c r="K346" s="50" t="s">
        <v>291</v>
      </c>
      <c r="L346" s="50" t="s">
        <v>286</v>
      </c>
      <c r="M346" s="50" t="s">
        <v>370</v>
      </c>
      <c r="N346" s="111">
        <v>5</v>
      </c>
      <c r="O346" s="111">
        <v>5</v>
      </c>
      <c r="P346" s="111">
        <v>5</v>
      </c>
      <c r="Q346" s="111">
        <v>5</v>
      </c>
      <c r="R346" s="111">
        <v>5</v>
      </c>
      <c r="S346" s="111">
        <v>6</v>
      </c>
      <c r="T346" s="111">
        <v>5</v>
      </c>
      <c r="U346" s="111">
        <v>5</v>
      </c>
      <c r="V346" s="111">
        <v>6</v>
      </c>
      <c r="W346" s="111">
        <v>6</v>
      </c>
      <c r="X346" s="111">
        <v>6</v>
      </c>
      <c r="Y346" s="111">
        <v>6</v>
      </c>
      <c r="Z346" s="111">
        <v>6</v>
      </c>
      <c r="AA346" s="111">
        <v>6</v>
      </c>
      <c r="AB346" s="111">
        <v>6</v>
      </c>
      <c r="AC346" s="111">
        <v>5</v>
      </c>
      <c r="AD346" s="111">
        <v>5</v>
      </c>
      <c r="AE346" s="111">
        <v>5</v>
      </c>
      <c r="AF346" s="111">
        <v>5</v>
      </c>
      <c r="AG346" s="111">
        <v>5</v>
      </c>
      <c r="AH346" s="111">
        <v>5</v>
      </c>
      <c r="AI346" s="111">
        <v>5</v>
      </c>
      <c r="AJ346" s="111">
        <v>5</v>
      </c>
      <c r="AK346" s="111">
        <v>5</v>
      </c>
      <c r="AL346" s="111">
        <v>5</v>
      </c>
      <c r="AM346" s="111">
        <v>5</v>
      </c>
      <c r="AN346" s="111">
        <v>5</v>
      </c>
      <c r="AO346" s="111">
        <v>5</v>
      </c>
      <c r="AP346" s="111">
        <v>5</v>
      </c>
      <c r="AQ346" s="111">
        <v>6</v>
      </c>
      <c r="AR346" s="111">
        <v>5</v>
      </c>
      <c r="AS346" s="111">
        <v>5</v>
      </c>
      <c r="AT346" s="111">
        <v>5</v>
      </c>
      <c r="AU346" s="111">
        <v>5</v>
      </c>
      <c r="AV346" s="50" t="s">
        <v>202</v>
      </c>
      <c r="AW346" s="50" t="s">
        <v>202</v>
      </c>
      <c r="AX346" s="50" t="s">
        <v>201</v>
      </c>
      <c r="AY346" s="50" t="s">
        <v>199</v>
      </c>
      <c r="AZ346" s="50" t="s">
        <v>202</v>
      </c>
      <c r="BA346" s="50" t="s">
        <v>200</v>
      </c>
      <c r="BB346" s="50" t="s">
        <v>202</v>
      </c>
      <c r="BC346" s="50" t="s">
        <v>202</v>
      </c>
      <c r="BD346" s="50" t="s">
        <v>202</v>
      </c>
      <c r="BE346" s="50" t="s">
        <v>201</v>
      </c>
      <c r="BF346" s="50" t="s">
        <v>201</v>
      </c>
      <c r="BG346" s="50" t="s">
        <v>202</v>
      </c>
      <c r="BH346" s="50" t="s">
        <v>200</v>
      </c>
      <c r="BI346" s="50" t="s">
        <v>202</v>
      </c>
      <c r="BJ346" s="50" t="s">
        <v>202</v>
      </c>
      <c r="BK346" s="50" t="s">
        <v>202</v>
      </c>
      <c r="BL346" s="50" t="s">
        <v>202</v>
      </c>
      <c r="BM346" s="50" t="s">
        <v>436</v>
      </c>
      <c r="BN346" s="50" t="s">
        <v>589</v>
      </c>
      <c r="BO346" s="50" t="s">
        <v>91</v>
      </c>
      <c r="BP346" s="50" t="s">
        <v>286</v>
      </c>
      <c r="BQ346" s="50" t="s">
        <v>287</v>
      </c>
      <c r="BR346" s="50" t="s">
        <v>372</v>
      </c>
      <c r="BS346" s="111">
        <v>5</v>
      </c>
      <c r="BT346" s="50" t="s">
        <v>286</v>
      </c>
      <c r="BU346" s="50" t="s">
        <v>348</v>
      </c>
      <c r="BV346" s="50" t="s">
        <v>288</v>
      </c>
      <c r="BW346" s="50" t="s">
        <v>590</v>
      </c>
      <c r="BX346" s="50" t="s">
        <v>387</v>
      </c>
      <c r="BY346" s="50" t="s">
        <v>288</v>
      </c>
      <c r="BZ346" s="50" t="s">
        <v>287</v>
      </c>
      <c r="CA346" s="50"/>
      <c r="CB346" s="50" t="s">
        <v>287</v>
      </c>
      <c r="CC346" s="50" t="s">
        <v>287</v>
      </c>
      <c r="CD346" s="50" t="s">
        <v>287</v>
      </c>
      <c r="CE346" s="50"/>
      <c r="CF346" s="50" t="s">
        <v>287</v>
      </c>
      <c r="CG346" s="50" t="s">
        <v>287</v>
      </c>
      <c r="CH346" s="50" t="s">
        <v>486</v>
      </c>
      <c r="CI346" s="50" t="s">
        <v>287</v>
      </c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</row>
    <row r="347" spans="1:97" ht="21.6" customHeight="1" thickBot="1">
      <c r="A347" s="49">
        <v>46107.333344907405</v>
      </c>
      <c r="B347" s="50" t="s">
        <v>40</v>
      </c>
      <c r="C347" s="50" t="s">
        <v>45</v>
      </c>
      <c r="D347" s="50" t="s">
        <v>369</v>
      </c>
      <c r="E347" s="50" t="s">
        <v>285</v>
      </c>
      <c r="F347" s="50" t="s">
        <v>286</v>
      </c>
      <c r="G347" s="50" t="s">
        <v>292</v>
      </c>
      <c r="H347" s="50" t="s">
        <v>402</v>
      </c>
      <c r="I347" s="50" t="s">
        <v>81</v>
      </c>
      <c r="J347" s="50" t="s">
        <v>286</v>
      </c>
      <c r="K347" s="50" t="s">
        <v>287</v>
      </c>
      <c r="L347" s="50" t="s">
        <v>379</v>
      </c>
      <c r="M347" s="50" t="s">
        <v>370</v>
      </c>
      <c r="N347" s="111">
        <v>5</v>
      </c>
      <c r="O347" s="111">
        <v>5</v>
      </c>
      <c r="P347" s="111">
        <v>5</v>
      </c>
      <c r="Q347" s="111">
        <v>5</v>
      </c>
      <c r="R347" s="111">
        <v>5</v>
      </c>
      <c r="S347" s="111">
        <v>6</v>
      </c>
      <c r="T347" s="111">
        <v>5</v>
      </c>
      <c r="U347" s="111">
        <v>5</v>
      </c>
      <c r="V347" s="111">
        <v>6</v>
      </c>
      <c r="W347" s="111">
        <v>6</v>
      </c>
      <c r="X347" s="111">
        <v>6</v>
      </c>
      <c r="Y347" s="111">
        <v>6</v>
      </c>
      <c r="Z347" s="111">
        <v>5</v>
      </c>
      <c r="AA347" s="111">
        <v>6</v>
      </c>
      <c r="AB347" s="111">
        <v>6</v>
      </c>
      <c r="AC347" s="111">
        <v>5</v>
      </c>
      <c r="AD347" s="111">
        <v>5</v>
      </c>
      <c r="AE347" s="111">
        <v>5</v>
      </c>
      <c r="AF347" s="111">
        <v>5</v>
      </c>
      <c r="AG347" s="111">
        <v>5</v>
      </c>
      <c r="AH347" s="111">
        <v>5</v>
      </c>
      <c r="AI347" s="111">
        <v>5</v>
      </c>
      <c r="AJ347" s="111">
        <v>5</v>
      </c>
      <c r="AK347" s="111">
        <v>5</v>
      </c>
      <c r="AL347" s="111">
        <v>5</v>
      </c>
      <c r="AM347" s="111">
        <v>5</v>
      </c>
      <c r="AN347" s="111">
        <v>5</v>
      </c>
      <c r="AO347" s="111">
        <v>5</v>
      </c>
      <c r="AP347" s="111">
        <v>5</v>
      </c>
      <c r="AQ347" s="111">
        <v>6</v>
      </c>
      <c r="AR347" s="111">
        <v>5</v>
      </c>
      <c r="AS347" s="111">
        <v>5</v>
      </c>
      <c r="AT347" s="111">
        <v>5</v>
      </c>
      <c r="AU347" s="111">
        <v>5</v>
      </c>
      <c r="AV347" s="50" t="s">
        <v>200</v>
      </c>
      <c r="AW347" s="50" t="s">
        <v>202</v>
      </c>
      <c r="AX347" s="50" t="s">
        <v>201</v>
      </c>
      <c r="AY347" s="50" t="s">
        <v>199</v>
      </c>
      <c r="AZ347" s="50" t="s">
        <v>202</v>
      </c>
      <c r="BA347" s="50" t="s">
        <v>199</v>
      </c>
      <c r="BB347" s="50" t="s">
        <v>202</v>
      </c>
      <c r="BC347" s="50" t="s">
        <v>202</v>
      </c>
      <c r="BD347" s="50" t="s">
        <v>202</v>
      </c>
      <c r="BE347" s="50" t="s">
        <v>202</v>
      </c>
      <c r="BF347" s="50" t="s">
        <v>201</v>
      </c>
      <c r="BG347" s="50" t="s">
        <v>202</v>
      </c>
      <c r="BH347" s="50" t="s">
        <v>200</v>
      </c>
      <c r="BI347" s="50" t="s">
        <v>202</v>
      </c>
      <c r="BJ347" s="50" t="s">
        <v>202</v>
      </c>
      <c r="BK347" s="50" t="s">
        <v>202</v>
      </c>
      <c r="BL347" s="50" t="s">
        <v>202</v>
      </c>
      <c r="BM347" s="50" t="s">
        <v>436</v>
      </c>
      <c r="BN347" s="50" t="s">
        <v>318</v>
      </c>
      <c r="BO347" s="50" t="s">
        <v>91</v>
      </c>
      <c r="BP347" s="50" t="s">
        <v>286</v>
      </c>
      <c r="BQ347" s="50" t="s">
        <v>287</v>
      </c>
      <c r="BR347" s="50" t="s">
        <v>459</v>
      </c>
      <c r="BS347" s="111">
        <v>5</v>
      </c>
      <c r="BT347" s="50" t="s">
        <v>286</v>
      </c>
      <c r="BU347" s="50" t="s">
        <v>348</v>
      </c>
      <c r="BV347" s="50" t="s">
        <v>288</v>
      </c>
      <c r="BW347" s="50" t="s">
        <v>350</v>
      </c>
      <c r="BX347" s="50" t="s">
        <v>387</v>
      </c>
      <c r="BY347" s="50" t="s">
        <v>288</v>
      </c>
      <c r="BZ347" s="50" t="s">
        <v>287</v>
      </c>
      <c r="CA347" s="50"/>
      <c r="CB347" s="50" t="s">
        <v>287</v>
      </c>
      <c r="CC347" s="50" t="s">
        <v>287</v>
      </c>
      <c r="CD347" s="50" t="s">
        <v>287</v>
      </c>
      <c r="CE347" s="50"/>
      <c r="CF347" s="50" t="s">
        <v>287</v>
      </c>
      <c r="CG347" s="50" t="s">
        <v>287</v>
      </c>
      <c r="CH347" s="50" t="s">
        <v>486</v>
      </c>
      <c r="CI347" s="50" t="s">
        <v>287</v>
      </c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</row>
    <row r="348" spans="1:97" ht="21.6" customHeight="1" thickBot="1">
      <c r="A348" s="49">
        <v>46107.337581018517</v>
      </c>
      <c r="B348" s="50" t="s">
        <v>39</v>
      </c>
      <c r="C348" s="50" t="s">
        <v>45</v>
      </c>
      <c r="D348" s="50" t="s">
        <v>369</v>
      </c>
      <c r="E348" s="50" t="s">
        <v>285</v>
      </c>
      <c r="F348" s="50" t="s">
        <v>286</v>
      </c>
      <c r="G348" s="50" t="s">
        <v>73</v>
      </c>
      <c r="H348" s="50" t="s">
        <v>442</v>
      </c>
      <c r="I348" s="50" t="s">
        <v>91</v>
      </c>
      <c r="J348" s="50" t="s">
        <v>286</v>
      </c>
      <c r="K348" s="50" t="s">
        <v>291</v>
      </c>
      <c r="L348" s="50" t="s">
        <v>286</v>
      </c>
      <c r="M348" s="50" t="s">
        <v>370</v>
      </c>
      <c r="N348" s="111">
        <v>5</v>
      </c>
      <c r="O348" s="111">
        <v>5</v>
      </c>
      <c r="P348" s="111">
        <v>5</v>
      </c>
      <c r="Q348" s="111">
        <v>5</v>
      </c>
      <c r="R348" s="111">
        <v>6</v>
      </c>
      <c r="S348" s="111">
        <v>6</v>
      </c>
      <c r="T348" s="111">
        <v>5</v>
      </c>
      <c r="U348" s="111">
        <v>5</v>
      </c>
      <c r="V348" s="111">
        <v>6</v>
      </c>
      <c r="W348" s="111">
        <v>6</v>
      </c>
      <c r="X348" s="111">
        <v>6</v>
      </c>
      <c r="Y348" s="111">
        <v>6</v>
      </c>
      <c r="Z348" s="111">
        <v>6</v>
      </c>
      <c r="AA348" s="111">
        <v>6</v>
      </c>
      <c r="AB348" s="111">
        <v>6</v>
      </c>
      <c r="AC348" s="111">
        <v>5</v>
      </c>
      <c r="AD348" s="111">
        <v>5</v>
      </c>
      <c r="AE348" s="111">
        <v>5</v>
      </c>
      <c r="AF348" s="111">
        <v>5</v>
      </c>
      <c r="AG348" s="111">
        <v>5</v>
      </c>
      <c r="AH348" s="111">
        <v>5</v>
      </c>
      <c r="AI348" s="111">
        <v>5</v>
      </c>
      <c r="AJ348" s="111">
        <v>5</v>
      </c>
      <c r="AK348" s="111">
        <v>5</v>
      </c>
      <c r="AL348" s="111">
        <v>5</v>
      </c>
      <c r="AM348" s="111">
        <v>5</v>
      </c>
      <c r="AN348" s="111">
        <v>5</v>
      </c>
      <c r="AO348" s="111">
        <v>5</v>
      </c>
      <c r="AP348" s="111">
        <v>5</v>
      </c>
      <c r="AQ348" s="111">
        <v>6</v>
      </c>
      <c r="AR348" s="111">
        <v>5</v>
      </c>
      <c r="AS348" s="111">
        <v>5</v>
      </c>
      <c r="AT348" s="111">
        <v>5</v>
      </c>
      <c r="AU348" s="111">
        <v>5</v>
      </c>
      <c r="AV348" s="50" t="s">
        <v>202</v>
      </c>
      <c r="AW348" s="50" t="s">
        <v>202</v>
      </c>
      <c r="AX348" s="50" t="s">
        <v>201</v>
      </c>
      <c r="AY348" s="50" t="s">
        <v>199</v>
      </c>
      <c r="AZ348" s="50" t="s">
        <v>202</v>
      </c>
      <c r="BA348" s="50" t="s">
        <v>199</v>
      </c>
      <c r="BB348" s="50" t="s">
        <v>202</v>
      </c>
      <c r="BC348" s="50" t="s">
        <v>202</v>
      </c>
      <c r="BD348" s="50" t="s">
        <v>202</v>
      </c>
      <c r="BE348" s="50" t="s">
        <v>201</v>
      </c>
      <c r="BF348" s="50" t="s">
        <v>201</v>
      </c>
      <c r="BG348" s="50" t="s">
        <v>202</v>
      </c>
      <c r="BH348" s="50" t="s">
        <v>200</v>
      </c>
      <c r="BI348" s="50" t="s">
        <v>202</v>
      </c>
      <c r="BJ348" s="50" t="s">
        <v>202</v>
      </c>
      <c r="BK348" s="50" t="s">
        <v>202</v>
      </c>
      <c r="BL348" s="50" t="s">
        <v>202</v>
      </c>
      <c r="BM348" s="50" t="s">
        <v>436</v>
      </c>
      <c r="BN348" s="50" t="s">
        <v>480</v>
      </c>
      <c r="BO348" s="50" t="s">
        <v>91</v>
      </c>
      <c r="BP348" s="50" t="s">
        <v>286</v>
      </c>
      <c r="BQ348" s="50" t="s">
        <v>287</v>
      </c>
      <c r="BR348" s="50" t="s">
        <v>372</v>
      </c>
      <c r="BS348" s="111">
        <v>5</v>
      </c>
      <c r="BT348" s="50" t="s">
        <v>286</v>
      </c>
      <c r="BU348" s="50" t="s">
        <v>348</v>
      </c>
      <c r="BV348" s="50" t="s">
        <v>288</v>
      </c>
      <c r="BW348" s="50" t="s">
        <v>350</v>
      </c>
      <c r="BX348" s="50" t="s">
        <v>387</v>
      </c>
      <c r="BY348" s="50" t="s">
        <v>288</v>
      </c>
      <c r="BZ348" s="50" t="s">
        <v>287</v>
      </c>
      <c r="CA348" s="50"/>
      <c r="CB348" s="50" t="s">
        <v>287</v>
      </c>
      <c r="CC348" s="50" t="s">
        <v>287</v>
      </c>
      <c r="CD348" s="50" t="s">
        <v>287</v>
      </c>
      <c r="CE348" s="50"/>
      <c r="CF348" s="50" t="s">
        <v>287</v>
      </c>
      <c r="CG348" s="50" t="s">
        <v>287</v>
      </c>
      <c r="CH348" s="50" t="s">
        <v>486</v>
      </c>
      <c r="CI348" s="50" t="s">
        <v>287</v>
      </c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</row>
    <row r="349" spans="1:97" ht="21.6" customHeight="1" thickBot="1">
      <c r="A349" s="49">
        <v>46107.435115740744</v>
      </c>
      <c r="B349" s="50" t="s">
        <v>38</v>
      </c>
      <c r="C349" s="50" t="s">
        <v>45</v>
      </c>
      <c r="D349" s="50" t="s">
        <v>369</v>
      </c>
      <c r="E349" s="50" t="s">
        <v>61</v>
      </c>
      <c r="F349" s="50" t="s">
        <v>286</v>
      </c>
      <c r="G349" s="50" t="s">
        <v>73</v>
      </c>
      <c r="H349" s="50" t="s">
        <v>323</v>
      </c>
      <c r="I349" s="50" t="s">
        <v>91</v>
      </c>
      <c r="J349" s="50" t="s">
        <v>286</v>
      </c>
      <c r="K349" s="50" t="s">
        <v>291</v>
      </c>
      <c r="L349" s="50" t="s">
        <v>286</v>
      </c>
      <c r="M349" s="50" t="s">
        <v>370</v>
      </c>
      <c r="N349" s="111">
        <v>5</v>
      </c>
      <c r="O349" s="111">
        <v>5</v>
      </c>
      <c r="P349" s="111">
        <v>5</v>
      </c>
      <c r="Q349" s="111">
        <v>4</v>
      </c>
      <c r="R349" s="111">
        <v>5</v>
      </c>
      <c r="S349" s="111">
        <v>6</v>
      </c>
      <c r="T349" s="111">
        <v>4</v>
      </c>
      <c r="U349" s="111">
        <v>5</v>
      </c>
      <c r="V349" s="111">
        <v>6</v>
      </c>
      <c r="W349" s="111">
        <v>6</v>
      </c>
      <c r="X349" s="111">
        <v>6</v>
      </c>
      <c r="Y349" s="111">
        <v>6</v>
      </c>
      <c r="Z349" s="111">
        <v>6</v>
      </c>
      <c r="AA349" s="111">
        <v>6</v>
      </c>
      <c r="AB349" s="111">
        <v>6</v>
      </c>
      <c r="AC349" s="111">
        <v>5</v>
      </c>
      <c r="AD349" s="111">
        <v>5</v>
      </c>
      <c r="AE349" s="111">
        <v>5</v>
      </c>
      <c r="AF349" s="111">
        <v>5</v>
      </c>
      <c r="AG349" s="111">
        <v>5</v>
      </c>
      <c r="AH349" s="111">
        <v>5</v>
      </c>
      <c r="AI349" s="111">
        <v>5</v>
      </c>
      <c r="AJ349" s="111">
        <v>5</v>
      </c>
      <c r="AK349" s="111">
        <v>5</v>
      </c>
      <c r="AL349" s="111">
        <v>5</v>
      </c>
      <c r="AM349" s="111">
        <v>5</v>
      </c>
      <c r="AN349" s="111">
        <v>5</v>
      </c>
      <c r="AO349" s="111">
        <v>5</v>
      </c>
      <c r="AP349" s="111">
        <v>5</v>
      </c>
      <c r="AQ349" s="111">
        <v>6</v>
      </c>
      <c r="AR349" s="111">
        <v>5</v>
      </c>
      <c r="AS349" s="111">
        <v>5</v>
      </c>
      <c r="AT349" s="111">
        <v>5</v>
      </c>
      <c r="AU349" s="111">
        <v>5</v>
      </c>
      <c r="AV349" s="50" t="s">
        <v>200</v>
      </c>
      <c r="AW349" s="50" t="s">
        <v>201</v>
      </c>
      <c r="AX349" s="50" t="s">
        <v>200</v>
      </c>
      <c r="AY349" s="50" t="s">
        <v>199</v>
      </c>
      <c r="AZ349" s="50" t="s">
        <v>202</v>
      </c>
      <c r="BA349" s="50" t="s">
        <v>199</v>
      </c>
      <c r="BB349" s="50" t="s">
        <v>202</v>
      </c>
      <c r="BC349" s="50" t="s">
        <v>202</v>
      </c>
      <c r="BD349" s="50" t="s">
        <v>202</v>
      </c>
      <c r="BE349" s="50" t="s">
        <v>200</v>
      </c>
      <c r="BF349" s="50" t="s">
        <v>201</v>
      </c>
      <c r="BG349" s="50" t="s">
        <v>202</v>
      </c>
      <c r="BH349" s="50" t="s">
        <v>200</v>
      </c>
      <c r="BI349" s="50" t="s">
        <v>202</v>
      </c>
      <c r="BJ349" s="50" t="s">
        <v>202</v>
      </c>
      <c r="BK349" s="50" t="s">
        <v>202</v>
      </c>
      <c r="BL349" s="50" t="s">
        <v>202</v>
      </c>
      <c r="BM349" s="50" t="s">
        <v>436</v>
      </c>
      <c r="BN349" s="50" t="s">
        <v>318</v>
      </c>
      <c r="BO349" s="50" t="s">
        <v>91</v>
      </c>
      <c r="BP349" s="50" t="s">
        <v>286</v>
      </c>
      <c r="BQ349" s="50" t="s">
        <v>287</v>
      </c>
      <c r="BR349" s="50" t="s">
        <v>372</v>
      </c>
      <c r="BS349" s="111">
        <v>5</v>
      </c>
      <c r="BT349" s="50" t="s">
        <v>286</v>
      </c>
      <c r="BU349" s="50" t="s">
        <v>348</v>
      </c>
      <c r="BV349" s="50" t="s">
        <v>288</v>
      </c>
      <c r="BW349" s="50" t="s">
        <v>350</v>
      </c>
      <c r="BX349" s="50" t="s">
        <v>387</v>
      </c>
      <c r="BY349" s="50" t="s">
        <v>288</v>
      </c>
      <c r="BZ349" s="50" t="s">
        <v>287</v>
      </c>
      <c r="CA349" s="50"/>
      <c r="CB349" s="50" t="s">
        <v>287</v>
      </c>
      <c r="CC349" s="50" t="s">
        <v>287</v>
      </c>
      <c r="CD349" s="50" t="s">
        <v>287</v>
      </c>
      <c r="CE349" s="50"/>
      <c r="CF349" s="50" t="s">
        <v>287</v>
      </c>
      <c r="CG349" s="50" t="s">
        <v>287</v>
      </c>
      <c r="CH349" s="50" t="s">
        <v>486</v>
      </c>
      <c r="CI349" s="50" t="s">
        <v>287</v>
      </c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</row>
    <row r="350" spans="1:97" ht="21.6" customHeight="1" thickBot="1">
      <c r="A350" s="49">
        <v>46107.457303240742</v>
      </c>
      <c r="B350" s="50" t="s">
        <v>40</v>
      </c>
      <c r="C350" s="50" t="s">
        <v>46</v>
      </c>
      <c r="D350" s="50" t="s">
        <v>374</v>
      </c>
      <c r="E350" s="50" t="s">
        <v>62</v>
      </c>
      <c r="F350" s="50" t="s">
        <v>286</v>
      </c>
      <c r="G350" s="50" t="s">
        <v>73</v>
      </c>
      <c r="H350" s="50" t="s">
        <v>307</v>
      </c>
      <c r="I350" s="50" t="s">
        <v>91</v>
      </c>
      <c r="J350" s="50" t="s">
        <v>286</v>
      </c>
      <c r="K350" s="50" t="s">
        <v>291</v>
      </c>
      <c r="L350" s="50" t="s">
        <v>286</v>
      </c>
      <c r="M350" s="50" t="s">
        <v>370</v>
      </c>
      <c r="N350" s="111">
        <v>5</v>
      </c>
      <c r="O350" s="111">
        <v>5</v>
      </c>
      <c r="P350" s="111">
        <v>5</v>
      </c>
      <c r="Q350" s="111">
        <v>5</v>
      </c>
      <c r="R350" s="111">
        <v>5</v>
      </c>
      <c r="S350" s="111">
        <v>6</v>
      </c>
      <c r="T350" s="111">
        <v>5</v>
      </c>
      <c r="U350" s="111">
        <v>5</v>
      </c>
      <c r="V350" s="111">
        <v>6</v>
      </c>
      <c r="W350" s="111">
        <v>6</v>
      </c>
      <c r="X350" s="111">
        <v>6</v>
      </c>
      <c r="Y350" s="111">
        <v>6</v>
      </c>
      <c r="Z350" s="111">
        <v>6</v>
      </c>
      <c r="AA350" s="111">
        <v>6</v>
      </c>
      <c r="AB350" s="111">
        <v>6</v>
      </c>
      <c r="AC350" s="111">
        <v>5</v>
      </c>
      <c r="AD350" s="111">
        <v>5</v>
      </c>
      <c r="AE350" s="111">
        <v>5</v>
      </c>
      <c r="AF350" s="111">
        <v>5</v>
      </c>
      <c r="AG350" s="111">
        <v>5</v>
      </c>
      <c r="AH350" s="111">
        <v>5</v>
      </c>
      <c r="AI350" s="111">
        <v>5</v>
      </c>
      <c r="AJ350" s="111">
        <v>5</v>
      </c>
      <c r="AK350" s="111">
        <v>5</v>
      </c>
      <c r="AL350" s="111">
        <v>5</v>
      </c>
      <c r="AM350" s="111">
        <v>5</v>
      </c>
      <c r="AN350" s="111">
        <v>5</v>
      </c>
      <c r="AO350" s="111">
        <v>5</v>
      </c>
      <c r="AP350" s="111">
        <v>5</v>
      </c>
      <c r="AQ350" s="111">
        <v>6</v>
      </c>
      <c r="AR350" s="111">
        <v>5</v>
      </c>
      <c r="AS350" s="111">
        <v>5</v>
      </c>
      <c r="AT350" s="111">
        <v>5</v>
      </c>
      <c r="AU350" s="111">
        <v>5</v>
      </c>
      <c r="AV350" s="50" t="s">
        <v>202</v>
      </c>
      <c r="AW350" s="50" t="s">
        <v>202</v>
      </c>
      <c r="AX350" s="50" t="s">
        <v>201</v>
      </c>
      <c r="AY350" s="50" t="s">
        <v>199</v>
      </c>
      <c r="AZ350" s="50" t="s">
        <v>202</v>
      </c>
      <c r="BA350" s="50" t="s">
        <v>199</v>
      </c>
      <c r="BB350" s="50" t="s">
        <v>202</v>
      </c>
      <c r="BC350" s="50" t="s">
        <v>202</v>
      </c>
      <c r="BD350" s="50" t="s">
        <v>202</v>
      </c>
      <c r="BE350" s="50" t="s">
        <v>200</v>
      </c>
      <c r="BF350" s="50" t="s">
        <v>201</v>
      </c>
      <c r="BG350" s="50" t="s">
        <v>202</v>
      </c>
      <c r="BH350" s="50" t="s">
        <v>200</v>
      </c>
      <c r="BI350" s="50" t="s">
        <v>202</v>
      </c>
      <c r="BJ350" s="50" t="s">
        <v>202</v>
      </c>
      <c r="BK350" s="50" t="s">
        <v>202</v>
      </c>
      <c r="BL350" s="50" t="s">
        <v>202</v>
      </c>
      <c r="BM350" s="50" t="s">
        <v>436</v>
      </c>
      <c r="BN350" s="50" t="s">
        <v>399</v>
      </c>
      <c r="BO350" s="50" t="s">
        <v>91</v>
      </c>
      <c r="BP350" s="50"/>
      <c r="BQ350" s="50" t="s">
        <v>287</v>
      </c>
      <c r="BR350" s="50" t="s">
        <v>394</v>
      </c>
      <c r="BS350" s="111">
        <v>5</v>
      </c>
      <c r="BT350" s="50" t="s">
        <v>286</v>
      </c>
      <c r="BU350" s="50" t="s">
        <v>348</v>
      </c>
      <c r="BV350" s="50" t="s">
        <v>288</v>
      </c>
      <c r="BW350" s="50" t="s">
        <v>350</v>
      </c>
      <c r="BX350" s="50" t="s">
        <v>387</v>
      </c>
      <c r="BY350" s="50" t="s">
        <v>288</v>
      </c>
      <c r="BZ350" s="50" t="s">
        <v>287</v>
      </c>
      <c r="CA350" s="50"/>
      <c r="CB350" s="50" t="s">
        <v>287</v>
      </c>
      <c r="CC350" s="50" t="s">
        <v>287</v>
      </c>
      <c r="CD350" s="50" t="s">
        <v>287</v>
      </c>
      <c r="CE350" s="50"/>
      <c r="CF350" s="50" t="s">
        <v>287</v>
      </c>
      <c r="CG350" s="50" t="s">
        <v>287</v>
      </c>
      <c r="CH350" s="50" t="s">
        <v>486</v>
      </c>
      <c r="CI350" s="50" t="s">
        <v>287</v>
      </c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</row>
    <row r="351" spans="1:97" ht="21.6" customHeight="1" thickBot="1">
      <c r="A351" s="49">
        <v>46107.462743055556</v>
      </c>
      <c r="B351" s="50" t="s">
        <v>36</v>
      </c>
      <c r="C351" s="50" t="s">
        <v>45</v>
      </c>
      <c r="D351" s="50" t="s">
        <v>374</v>
      </c>
      <c r="E351" s="50" t="s">
        <v>53</v>
      </c>
      <c r="F351" s="50" t="s">
        <v>286</v>
      </c>
      <c r="G351" s="50" t="s">
        <v>73</v>
      </c>
      <c r="H351" s="50" t="s">
        <v>445</v>
      </c>
      <c r="I351" s="50" t="s">
        <v>91</v>
      </c>
      <c r="J351" s="50" t="s">
        <v>286</v>
      </c>
      <c r="K351" s="50" t="s">
        <v>291</v>
      </c>
      <c r="L351" s="50" t="s">
        <v>286</v>
      </c>
      <c r="M351" s="50" t="s">
        <v>370</v>
      </c>
      <c r="N351" s="111">
        <v>5</v>
      </c>
      <c r="O351" s="111">
        <v>5</v>
      </c>
      <c r="P351" s="111">
        <v>5</v>
      </c>
      <c r="Q351" s="111">
        <v>5</v>
      </c>
      <c r="R351" s="111">
        <v>6</v>
      </c>
      <c r="S351" s="111">
        <v>6</v>
      </c>
      <c r="T351" s="111">
        <v>5</v>
      </c>
      <c r="U351" s="111">
        <v>5</v>
      </c>
      <c r="V351" s="111">
        <v>6</v>
      </c>
      <c r="W351" s="111">
        <v>6</v>
      </c>
      <c r="X351" s="111">
        <v>6</v>
      </c>
      <c r="Y351" s="111">
        <v>6</v>
      </c>
      <c r="Z351" s="111">
        <v>6</v>
      </c>
      <c r="AA351" s="111">
        <v>6</v>
      </c>
      <c r="AB351" s="111">
        <v>6</v>
      </c>
      <c r="AC351" s="111">
        <v>5</v>
      </c>
      <c r="AD351" s="111">
        <v>5</v>
      </c>
      <c r="AE351" s="111">
        <v>5</v>
      </c>
      <c r="AF351" s="111">
        <v>5</v>
      </c>
      <c r="AG351" s="111">
        <v>5</v>
      </c>
      <c r="AH351" s="111">
        <v>5</v>
      </c>
      <c r="AI351" s="111">
        <v>5</v>
      </c>
      <c r="AJ351" s="111">
        <v>5</v>
      </c>
      <c r="AK351" s="111">
        <v>5</v>
      </c>
      <c r="AL351" s="111">
        <v>5</v>
      </c>
      <c r="AM351" s="111">
        <v>5</v>
      </c>
      <c r="AN351" s="111">
        <v>5</v>
      </c>
      <c r="AO351" s="111">
        <v>5</v>
      </c>
      <c r="AP351" s="111">
        <v>5</v>
      </c>
      <c r="AQ351" s="111">
        <v>6</v>
      </c>
      <c r="AR351" s="111">
        <v>5</v>
      </c>
      <c r="AS351" s="111">
        <v>5</v>
      </c>
      <c r="AT351" s="111">
        <v>5</v>
      </c>
      <c r="AU351" s="111">
        <v>5</v>
      </c>
      <c r="AV351" s="50" t="s">
        <v>202</v>
      </c>
      <c r="AW351" s="50" t="s">
        <v>202</v>
      </c>
      <c r="AX351" s="50" t="s">
        <v>199</v>
      </c>
      <c r="AY351" s="50" t="s">
        <v>199</v>
      </c>
      <c r="AZ351" s="50" t="s">
        <v>202</v>
      </c>
      <c r="BA351" s="50" t="s">
        <v>199</v>
      </c>
      <c r="BB351" s="50" t="s">
        <v>202</v>
      </c>
      <c r="BC351" s="50" t="s">
        <v>202</v>
      </c>
      <c r="BD351" s="50" t="s">
        <v>202</v>
      </c>
      <c r="BE351" s="50" t="s">
        <v>200</v>
      </c>
      <c r="BF351" s="50" t="s">
        <v>201</v>
      </c>
      <c r="BG351" s="50" t="s">
        <v>202</v>
      </c>
      <c r="BH351" s="50" t="s">
        <v>200</v>
      </c>
      <c r="BI351" s="50" t="s">
        <v>202</v>
      </c>
      <c r="BJ351" s="50" t="s">
        <v>202</v>
      </c>
      <c r="BK351" s="50" t="s">
        <v>202</v>
      </c>
      <c r="BL351" s="50" t="s">
        <v>202</v>
      </c>
      <c r="BM351" s="50" t="s">
        <v>436</v>
      </c>
      <c r="BN351" s="50" t="s">
        <v>318</v>
      </c>
      <c r="BO351" s="50" t="s">
        <v>91</v>
      </c>
      <c r="BP351" s="50" t="s">
        <v>286</v>
      </c>
      <c r="BQ351" s="50" t="s">
        <v>287</v>
      </c>
      <c r="BR351" s="50" t="s">
        <v>372</v>
      </c>
      <c r="BS351" s="111">
        <v>5</v>
      </c>
      <c r="BT351" s="50" t="s">
        <v>286</v>
      </c>
      <c r="BU351" s="50" t="s">
        <v>348</v>
      </c>
      <c r="BV351" s="50" t="s">
        <v>288</v>
      </c>
      <c r="BW351" s="50" t="s">
        <v>350</v>
      </c>
      <c r="BX351" s="50" t="s">
        <v>387</v>
      </c>
      <c r="BY351" s="50" t="s">
        <v>288</v>
      </c>
      <c r="BZ351" s="50" t="s">
        <v>287</v>
      </c>
      <c r="CA351" s="50"/>
      <c r="CB351" s="50" t="s">
        <v>287</v>
      </c>
      <c r="CC351" s="50" t="s">
        <v>287</v>
      </c>
      <c r="CD351" s="50" t="s">
        <v>287</v>
      </c>
      <c r="CE351" s="50"/>
      <c r="CF351" s="50" t="s">
        <v>287</v>
      </c>
      <c r="CG351" s="50" t="s">
        <v>287</v>
      </c>
      <c r="CH351" s="50" t="s">
        <v>486</v>
      </c>
      <c r="CI351" s="50" t="s">
        <v>287</v>
      </c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</row>
    <row r="352" spans="1:97" ht="21.6" customHeight="1" thickBot="1">
      <c r="A352" s="49">
        <v>46107.467499999999</v>
      </c>
      <c r="B352" s="50" t="s">
        <v>40</v>
      </c>
      <c r="C352" s="50" t="s">
        <v>45</v>
      </c>
      <c r="D352" s="50" t="s">
        <v>369</v>
      </c>
      <c r="E352" s="50" t="s">
        <v>63</v>
      </c>
      <c r="F352" s="50" t="s">
        <v>286</v>
      </c>
      <c r="G352" s="50" t="s">
        <v>74</v>
      </c>
      <c r="H352" s="50" t="s">
        <v>518</v>
      </c>
      <c r="I352" s="50" t="s">
        <v>91</v>
      </c>
      <c r="J352" s="50" t="s">
        <v>286</v>
      </c>
      <c r="K352" s="50" t="s">
        <v>291</v>
      </c>
      <c r="L352" s="50" t="s">
        <v>286</v>
      </c>
      <c r="M352" s="50" t="s">
        <v>370</v>
      </c>
      <c r="N352" s="111">
        <v>6</v>
      </c>
      <c r="O352" s="111">
        <v>5</v>
      </c>
      <c r="P352" s="111">
        <v>5</v>
      </c>
      <c r="Q352" s="111">
        <v>5</v>
      </c>
      <c r="R352" s="111">
        <v>5</v>
      </c>
      <c r="S352" s="111">
        <v>6</v>
      </c>
      <c r="T352" s="111">
        <v>5</v>
      </c>
      <c r="U352" s="111">
        <v>6</v>
      </c>
      <c r="V352" s="111">
        <v>6</v>
      </c>
      <c r="W352" s="111">
        <v>6</v>
      </c>
      <c r="X352" s="111">
        <v>6</v>
      </c>
      <c r="Y352" s="111">
        <v>6</v>
      </c>
      <c r="Z352" s="111">
        <v>6</v>
      </c>
      <c r="AA352" s="111">
        <v>6</v>
      </c>
      <c r="AB352" s="111">
        <v>6</v>
      </c>
      <c r="AC352" s="111">
        <v>5</v>
      </c>
      <c r="AD352" s="111">
        <v>5</v>
      </c>
      <c r="AE352" s="111">
        <v>5</v>
      </c>
      <c r="AF352" s="111">
        <v>5</v>
      </c>
      <c r="AG352" s="111">
        <v>5</v>
      </c>
      <c r="AH352" s="111">
        <v>5</v>
      </c>
      <c r="AI352" s="111">
        <v>5</v>
      </c>
      <c r="AJ352" s="111">
        <v>5</v>
      </c>
      <c r="AK352" s="111">
        <v>5</v>
      </c>
      <c r="AL352" s="111">
        <v>5</v>
      </c>
      <c r="AM352" s="111">
        <v>5</v>
      </c>
      <c r="AN352" s="111">
        <v>5</v>
      </c>
      <c r="AO352" s="111">
        <v>5</v>
      </c>
      <c r="AP352" s="111">
        <v>5</v>
      </c>
      <c r="AQ352" s="111">
        <v>6</v>
      </c>
      <c r="AR352" s="111">
        <v>5</v>
      </c>
      <c r="AS352" s="111">
        <v>5</v>
      </c>
      <c r="AT352" s="111">
        <v>5</v>
      </c>
      <c r="AU352" s="111">
        <v>5</v>
      </c>
      <c r="AV352" s="50" t="s">
        <v>202</v>
      </c>
      <c r="AW352" s="50" t="s">
        <v>202</v>
      </c>
      <c r="AX352" s="50" t="s">
        <v>200</v>
      </c>
      <c r="AY352" s="50" t="s">
        <v>199</v>
      </c>
      <c r="AZ352" s="50" t="s">
        <v>202</v>
      </c>
      <c r="BA352" s="50" t="s">
        <v>201</v>
      </c>
      <c r="BB352" s="50" t="s">
        <v>202</v>
      </c>
      <c r="BC352" s="50" t="s">
        <v>202</v>
      </c>
      <c r="BD352" s="50" t="s">
        <v>202</v>
      </c>
      <c r="BE352" s="50" t="s">
        <v>200</v>
      </c>
      <c r="BF352" s="50" t="s">
        <v>201</v>
      </c>
      <c r="BG352" s="50" t="s">
        <v>202</v>
      </c>
      <c r="BH352" s="50" t="s">
        <v>200</v>
      </c>
      <c r="BI352" s="50" t="s">
        <v>202</v>
      </c>
      <c r="BJ352" s="50" t="s">
        <v>202</v>
      </c>
      <c r="BK352" s="50" t="s">
        <v>202</v>
      </c>
      <c r="BL352" s="50" t="s">
        <v>202</v>
      </c>
      <c r="BM352" s="50" t="s">
        <v>436</v>
      </c>
      <c r="BN352" s="50" t="s">
        <v>399</v>
      </c>
      <c r="BO352" s="50" t="s">
        <v>91</v>
      </c>
      <c r="BP352" s="50" t="s">
        <v>286</v>
      </c>
      <c r="BQ352" s="50" t="s">
        <v>287</v>
      </c>
      <c r="BR352" s="50" t="s">
        <v>372</v>
      </c>
      <c r="BS352" s="111">
        <v>5</v>
      </c>
      <c r="BT352" s="50" t="s">
        <v>286</v>
      </c>
      <c r="BU352" s="50" t="s">
        <v>348</v>
      </c>
      <c r="BV352" s="50" t="s">
        <v>288</v>
      </c>
      <c r="BW352" s="50" t="s">
        <v>350</v>
      </c>
      <c r="BX352" s="50" t="s">
        <v>387</v>
      </c>
      <c r="BY352" s="50" t="s">
        <v>288</v>
      </c>
      <c r="BZ352" s="50" t="s">
        <v>287</v>
      </c>
      <c r="CA352" s="50"/>
      <c r="CB352" s="50" t="s">
        <v>287</v>
      </c>
      <c r="CC352" s="50" t="s">
        <v>287</v>
      </c>
      <c r="CD352" s="50" t="s">
        <v>287</v>
      </c>
      <c r="CE352" s="50"/>
      <c r="CF352" s="50" t="s">
        <v>287</v>
      </c>
      <c r="CG352" s="50" t="s">
        <v>287</v>
      </c>
      <c r="CH352" s="50" t="s">
        <v>486</v>
      </c>
      <c r="CI352" s="50" t="s">
        <v>287</v>
      </c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</row>
    <row r="353" spans="1:97" ht="21.6" customHeight="1" thickBot="1">
      <c r="A353" s="49">
        <v>46107.469837962963</v>
      </c>
      <c r="B353" s="50" t="s">
        <v>40</v>
      </c>
      <c r="C353" s="50" t="s">
        <v>45</v>
      </c>
      <c r="D353" s="50" t="s">
        <v>369</v>
      </c>
      <c r="E353" s="50" t="s">
        <v>61</v>
      </c>
      <c r="F353" s="50" t="s">
        <v>286</v>
      </c>
      <c r="G353" s="50" t="s">
        <v>74</v>
      </c>
      <c r="H353" s="50" t="s">
        <v>518</v>
      </c>
      <c r="I353" s="50" t="s">
        <v>81</v>
      </c>
      <c r="J353" s="50" t="s">
        <v>286</v>
      </c>
      <c r="K353" s="50" t="s">
        <v>287</v>
      </c>
      <c r="L353" s="50" t="s">
        <v>379</v>
      </c>
      <c r="M353" s="50" t="s">
        <v>370</v>
      </c>
      <c r="N353" s="111">
        <v>5</v>
      </c>
      <c r="O353" s="111">
        <v>5</v>
      </c>
      <c r="P353" s="111">
        <v>5</v>
      </c>
      <c r="Q353" s="111">
        <v>5</v>
      </c>
      <c r="R353" s="111">
        <v>5</v>
      </c>
      <c r="S353" s="111">
        <v>6</v>
      </c>
      <c r="T353" s="111">
        <v>5</v>
      </c>
      <c r="U353" s="111">
        <v>5</v>
      </c>
      <c r="V353" s="111">
        <v>6</v>
      </c>
      <c r="W353" s="111">
        <v>6</v>
      </c>
      <c r="X353" s="111">
        <v>6</v>
      </c>
      <c r="Y353" s="111">
        <v>6</v>
      </c>
      <c r="Z353" s="111">
        <v>6</v>
      </c>
      <c r="AA353" s="111">
        <v>6</v>
      </c>
      <c r="AB353" s="111">
        <v>6</v>
      </c>
      <c r="AC353" s="111">
        <v>5</v>
      </c>
      <c r="AD353" s="111">
        <v>5</v>
      </c>
      <c r="AE353" s="111">
        <v>5</v>
      </c>
      <c r="AF353" s="111">
        <v>5</v>
      </c>
      <c r="AG353" s="111">
        <v>5</v>
      </c>
      <c r="AH353" s="111">
        <v>5</v>
      </c>
      <c r="AI353" s="111">
        <v>5</v>
      </c>
      <c r="AJ353" s="111">
        <v>5</v>
      </c>
      <c r="AK353" s="111">
        <v>5</v>
      </c>
      <c r="AL353" s="111">
        <v>5</v>
      </c>
      <c r="AM353" s="111">
        <v>5</v>
      </c>
      <c r="AN353" s="111">
        <v>5</v>
      </c>
      <c r="AO353" s="111">
        <v>5</v>
      </c>
      <c r="AP353" s="111">
        <v>5</v>
      </c>
      <c r="AQ353" s="111">
        <v>6</v>
      </c>
      <c r="AR353" s="111">
        <v>5</v>
      </c>
      <c r="AS353" s="111">
        <v>5</v>
      </c>
      <c r="AT353" s="111">
        <v>5</v>
      </c>
      <c r="AU353" s="111">
        <v>5</v>
      </c>
      <c r="AV353" s="50" t="s">
        <v>202</v>
      </c>
      <c r="AW353" s="50" t="s">
        <v>202</v>
      </c>
      <c r="AX353" s="50" t="s">
        <v>200</v>
      </c>
      <c r="AY353" s="50" t="s">
        <v>199</v>
      </c>
      <c r="AZ353" s="50" t="s">
        <v>202</v>
      </c>
      <c r="BA353" s="50" t="s">
        <v>199</v>
      </c>
      <c r="BB353" s="50" t="s">
        <v>202</v>
      </c>
      <c r="BC353" s="50" t="s">
        <v>202</v>
      </c>
      <c r="BD353" s="50" t="s">
        <v>202</v>
      </c>
      <c r="BE353" s="50" t="s">
        <v>200</v>
      </c>
      <c r="BF353" s="50" t="s">
        <v>201</v>
      </c>
      <c r="BG353" s="50" t="s">
        <v>202</v>
      </c>
      <c r="BH353" s="50" t="s">
        <v>200</v>
      </c>
      <c r="BI353" s="50" t="s">
        <v>202</v>
      </c>
      <c r="BJ353" s="50" t="s">
        <v>202</v>
      </c>
      <c r="BK353" s="50" t="s">
        <v>202</v>
      </c>
      <c r="BL353" s="50" t="s">
        <v>202</v>
      </c>
      <c r="BM353" s="50" t="s">
        <v>436</v>
      </c>
      <c r="BN353" s="50" t="s">
        <v>399</v>
      </c>
      <c r="BO353" s="50" t="s">
        <v>91</v>
      </c>
      <c r="BP353" s="50" t="s">
        <v>286</v>
      </c>
      <c r="BQ353" s="50" t="s">
        <v>287</v>
      </c>
      <c r="BR353" s="50" t="s">
        <v>372</v>
      </c>
      <c r="BS353" s="111">
        <v>5</v>
      </c>
      <c r="BT353" s="50" t="s">
        <v>286</v>
      </c>
      <c r="BU353" s="50" t="s">
        <v>348</v>
      </c>
      <c r="BV353" s="50" t="s">
        <v>288</v>
      </c>
      <c r="BW353" s="50" t="s">
        <v>350</v>
      </c>
      <c r="BX353" s="50" t="s">
        <v>387</v>
      </c>
      <c r="BY353" s="50" t="s">
        <v>288</v>
      </c>
      <c r="BZ353" s="50" t="s">
        <v>287</v>
      </c>
      <c r="CA353" s="50"/>
      <c r="CB353" s="50" t="s">
        <v>287</v>
      </c>
      <c r="CC353" s="50" t="s">
        <v>287</v>
      </c>
      <c r="CD353" s="50" t="s">
        <v>287</v>
      </c>
      <c r="CE353" s="50"/>
      <c r="CF353" s="50" t="s">
        <v>287</v>
      </c>
      <c r="CG353" s="50" t="s">
        <v>287</v>
      </c>
      <c r="CH353" s="50" t="s">
        <v>486</v>
      </c>
      <c r="CI353" s="50" t="s">
        <v>287</v>
      </c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</row>
    <row r="354" spans="1:97" ht="21.6" customHeight="1" thickBot="1">
      <c r="A354" s="49">
        <v>46107.473287037035</v>
      </c>
      <c r="B354" s="50" t="s">
        <v>38</v>
      </c>
      <c r="C354" s="50" t="s">
        <v>46</v>
      </c>
      <c r="D354" s="50" t="s">
        <v>374</v>
      </c>
      <c r="E354" s="50" t="s">
        <v>61</v>
      </c>
      <c r="F354" s="50" t="s">
        <v>286</v>
      </c>
      <c r="G354" s="50" t="s">
        <v>73</v>
      </c>
      <c r="H354" s="50" t="s">
        <v>383</v>
      </c>
      <c r="I354" s="50" t="s">
        <v>91</v>
      </c>
      <c r="J354" s="50" t="s">
        <v>286</v>
      </c>
      <c r="K354" s="50" t="s">
        <v>291</v>
      </c>
      <c r="L354" s="50" t="s">
        <v>286</v>
      </c>
      <c r="M354" s="50" t="s">
        <v>370</v>
      </c>
      <c r="N354" s="111">
        <v>5</v>
      </c>
      <c r="O354" s="111">
        <v>5</v>
      </c>
      <c r="P354" s="111">
        <v>5</v>
      </c>
      <c r="Q354" s="111">
        <v>5</v>
      </c>
      <c r="R354" s="111">
        <v>6</v>
      </c>
      <c r="S354" s="111">
        <v>6</v>
      </c>
      <c r="T354" s="111">
        <v>5</v>
      </c>
      <c r="U354" s="111">
        <v>5</v>
      </c>
      <c r="V354" s="111">
        <v>6</v>
      </c>
      <c r="W354" s="111">
        <v>6</v>
      </c>
      <c r="X354" s="111">
        <v>6</v>
      </c>
      <c r="Y354" s="111">
        <v>6</v>
      </c>
      <c r="Z354" s="111">
        <v>6</v>
      </c>
      <c r="AA354" s="111">
        <v>6</v>
      </c>
      <c r="AB354" s="111">
        <v>6</v>
      </c>
      <c r="AC354" s="111">
        <v>5</v>
      </c>
      <c r="AD354" s="111">
        <v>5</v>
      </c>
      <c r="AE354" s="111">
        <v>5</v>
      </c>
      <c r="AF354" s="111">
        <v>5</v>
      </c>
      <c r="AG354" s="111">
        <v>5</v>
      </c>
      <c r="AH354" s="111">
        <v>5</v>
      </c>
      <c r="AI354" s="111">
        <v>5</v>
      </c>
      <c r="AJ354" s="111">
        <v>5</v>
      </c>
      <c r="AK354" s="111">
        <v>5</v>
      </c>
      <c r="AL354" s="111">
        <v>5</v>
      </c>
      <c r="AM354" s="111">
        <v>5</v>
      </c>
      <c r="AN354" s="111">
        <v>5</v>
      </c>
      <c r="AO354" s="111">
        <v>5</v>
      </c>
      <c r="AP354" s="111">
        <v>5</v>
      </c>
      <c r="AQ354" s="111">
        <v>6</v>
      </c>
      <c r="AR354" s="111">
        <v>5</v>
      </c>
      <c r="AS354" s="111">
        <v>5</v>
      </c>
      <c r="AT354" s="111">
        <v>5</v>
      </c>
      <c r="AU354" s="111">
        <v>5</v>
      </c>
      <c r="AV354" s="50" t="s">
        <v>202</v>
      </c>
      <c r="AW354" s="50" t="s">
        <v>202</v>
      </c>
      <c r="AX354" s="50" t="s">
        <v>201</v>
      </c>
      <c r="AY354" s="50" t="s">
        <v>199</v>
      </c>
      <c r="AZ354" s="50" t="s">
        <v>202</v>
      </c>
      <c r="BA354" s="50" t="s">
        <v>200</v>
      </c>
      <c r="BB354" s="50" t="s">
        <v>202</v>
      </c>
      <c r="BC354" s="50" t="s">
        <v>202</v>
      </c>
      <c r="BD354" s="50" t="s">
        <v>202</v>
      </c>
      <c r="BE354" s="50" t="s">
        <v>200</v>
      </c>
      <c r="BF354" s="50" t="s">
        <v>201</v>
      </c>
      <c r="BG354" s="50" t="s">
        <v>202</v>
      </c>
      <c r="BH354" s="50" t="s">
        <v>200</v>
      </c>
      <c r="BI354" s="50" t="s">
        <v>202</v>
      </c>
      <c r="BJ354" s="50" t="s">
        <v>202</v>
      </c>
      <c r="BK354" s="50" t="s">
        <v>202</v>
      </c>
      <c r="BL354" s="50" t="s">
        <v>202</v>
      </c>
      <c r="BM354" s="50" t="s">
        <v>436</v>
      </c>
      <c r="BN354" s="50" t="s">
        <v>480</v>
      </c>
      <c r="BO354" s="50" t="s">
        <v>91</v>
      </c>
      <c r="BP354" s="50" t="s">
        <v>286</v>
      </c>
      <c r="BQ354" s="50" t="s">
        <v>287</v>
      </c>
      <c r="BR354" s="50" t="s">
        <v>372</v>
      </c>
      <c r="BS354" s="111">
        <v>5</v>
      </c>
      <c r="BT354" s="50" t="s">
        <v>286</v>
      </c>
      <c r="BU354" s="50" t="s">
        <v>348</v>
      </c>
      <c r="BV354" s="50" t="s">
        <v>288</v>
      </c>
      <c r="BW354" s="50" t="s">
        <v>350</v>
      </c>
      <c r="BX354" s="50" t="s">
        <v>387</v>
      </c>
      <c r="BY354" s="50" t="s">
        <v>288</v>
      </c>
      <c r="BZ354" s="50" t="s">
        <v>287</v>
      </c>
      <c r="CA354" s="50"/>
      <c r="CB354" s="50" t="s">
        <v>287</v>
      </c>
      <c r="CC354" s="50" t="s">
        <v>287</v>
      </c>
      <c r="CD354" s="50" t="s">
        <v>287</v>
      </c>
      <c r="CE354" s="50"/>
      <c r="CF354" s="50" t="s">
        <v>287</v>
      </c>
      <c r="CG354" s="50" t="s">
        <v>287</v>
      </c>
      <c r="CH354" s="50" t="s">
        <v>486</v>
      </c>
      <c r="CI354" s="50" t="s">
        <v>287</v>
      </c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</row>
    <row r="355" spans="1:97" ht="21.6" customHeight="1" thickBot="1">
      <c r="A355" s="49">
        <v>46107.475706018522</v>
      </c>
      <c r="B355" s="50" t="s">
        <v>33</v>
      </c>
      <c r="C355" s="50" t="s">
        <v>45</v>
      </c>
      <c r="D355" s="50" t="s">
        <v>369</v>
      </c>
      <c r="E355" s="50" t="s">
        <v>285</v>
      </c>
      <c r="F355" s="50"/>
      <c r="G355" s="50" t="s">
        <v>74</v>
      </c>
      <c r="H355" s="50" t="s">
        <v>588</v>
      </c>
      <c r="I355" s="50" t="s">
        <v>91</v>
      </c>
      <c r="J355" s="50" t="s">
        <v>286</v>
      </c>
      <c r="K355" s="50" t="s">
        <v>291</v>
      </c>
      <c r="L355" s="50" t="s">
        <v>286</v>
      </c>
      <c r="M355" s="50" t="s">
        <v>370</v>
      </c>
      <c r="N355" s="111">
        <v>5</v>
      </c>
      <c r="O355" s="111">
        <v>5</v>
      </c>
      <c r="P355" s="111">
        <v>5</v>
      </c>
      <c r="Q355" s="111">
        <v>5</v>
      </c>
      <c r="R355" s="111">
        <v>5</v>
      </c>
      <c r="S355" s="111">
        <v>6</v>
      </c>
      <c r="T355" s="111">
        <v>5</v>
      </c>
      <c r="U355" s="111">
        <v>5</v>
      </c>
      <c r="V355" s="111">
        <v>6</v>
      </c>
      <c r="W355" s="111">
        <v>6</v>
      </c>
      <c r="X355" s="111">
        <v>6</v>
      </c>
      <c r="Y355" s="111">
        <v>6</v>
      </c>
      <c r="Z355" s="111">
        <v>6</v>
      </c>
      <c r="AA355" s="111">
        <v>6</v>
      </c>
      <c r="AB355" s="111">
        <v>6</v>
      </c>
      <c r="AC355" s="111">
        <v>5</v>
      </c>
      <c r="AD355" s="111">
        <v>5</v>
      </c>
      <c r="AE355" s="111">
        <v>5</v>
      </c>
      <c r="AF355" s="111">
        <v>5</v>
      </c>
      <c r="AG355" s="111">
        <v>5</v>
      </c>
      <c r="AH355" s="111">
        <v>5</v>
      </c>
      <c r="AI355" s="111">
        <v>5</v>
      </c>
      <c r="AJ355" s="111">
        <v>5</v>
      </c>
      <c r="AK355" s="111">
        <v>5</v>
      </c>
      <c r="AL355" s="111">
        <v>5</v>
      </c>
      <c r="AM355" s="111">
        <v>5</v>
      </c>
      <c r="AN355" s="111">
        <v>5</v>
      </c>
      <c r="AO355" s="111">
        <v>5</v>
      </c>
      <c r="AP355" s="111">
        <v>5</v>
      </c>
      <c r="AQ355" s="111">
        <v>6</v>
      </c>
      <c r="AR355" s="111">
        <v>5</v>
      </c>
      <c r="AS355" s="111">
        <v>5</v>
      </c>
      <c r="AT355" s="111">
        <v>5</v>
      </c>
      <c r="AU355" s="111">
        <v>5</v>
      </c>
      <c r="AV355" s="50" t="s">
        <v>202</v>
      </c>
      <c r="AW355" s="50" t="s">
        <v>202</v>
      </c>
      <c r="AX355" s="50" t="s">
        <v>201</v>
      </c>
      <c r="AY355" s="50" t="s">
        <v>199</v>
      </c>
      <c r="AZ355" s="50" t="s">
        <v>202</v>
      </c>
      <c r="BA355" s="50" t="s">
        <v>199</v>
      </c>
      <c r="BB355" s="50" t="s">
        <v>202</v>
      </c>
      <c r="BC355" s="50" t="s">
        <v>202</v>
      </c>
      <c r="BD355" s="50" t="s">
        <v>202</v>
      </c>
      <c r="BE355" s="50" t="s">
        <v>200</v>
      </c>
      <c r="BF355" s="50" t="s">
        <v>201</v>
      </c>
      <c r="BG355" s="50" t="s">
        <v>202</v>
      </c>
      <c r="BH355" s="50" t="s">
        <v>200</v>
      </c>
      <c r="BI355" s="50" t="s">
        <v>202</v>
      </c>
      <c r="BJ355" s="50" t="s">
        <v>202</v>
      </c>
      <c r="BK355" s="50" t="s">
        <v>202</v>
      </c>
      <c r="BL355" s="50" t="s">
        <v>202</v>
      </c>
      <c r="BM355" s="50" t="s">
        <v>436</v>
      </c>
      <c r="BN355" s="50" t="s">
        <v>479</v>
      </c>
      <c r="BO355" s="50" t="s">
        <v>91</v>
      </c>
      <c r="BP355" s="50" t="s">
        <v>286</v>
      </c>
      <c r="BQ355" s="50" t="s">
        <v>287</v>
      </c>
      <c r="BR355" s="50" t="s">
        <v>386</v>
      </c>
      <c r="BS355" s="111">
        <v>5</v>
      </c>
      <c r="BT355" s="50" t="s">
        <v>286</v>
      </c>
      <c r="BU355" s="50" t="s">
        <v>348</v>
      </c>
      <c r="BV355" s="50" t="s">
        <v>288</v>
      </c>
      <c r="BW355" s="50" t="s">
        <v>350</v>
      </c>
      <c r="BX355" s="50" t="s">
        <v>387</v>
      </c>
      <c r="BY355" s="50" t="s">
        <v>288</v>
      </c>
      <c r="BZ355" s="50" t="s">
        <v>287</v>
      </c>
      <c r="CA355" s="50"/>
      <c r="CB355" s="50" t="s">
        <v>287</v>
      </c>
      <c r="CC355" s="50" t="s">
        <v>287</v>
      </c>
      <c r="CD355" s="50" t="s">
        <v>287</v>
      </c>
      <c r="CE355" s="50"/>
      <c r="CF355" s="50" t="s">
        <v>287</v>
      </c>
      <c r="CG355" s="50" t="s">
        <v>287</v>
      </c>
      <c r="CH355" s="50" t="s">
        <v>486</v>
      </c>
      <c r="CI355" s="50" t="s">
        <v>287</v>
      </c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</row>
    <row r="356" spans="1:97" ht="21.6" customHeight="1" thickBot="1">
      <c r="A356" s="49">
        <v>46107.548182870371</v>
      </c>
      <c r="B356" s="50" t="s">
        <v>35</v>
      </c>
      <c r="C356" s="50" t="s">
        <v>45</v>
      </c>
      <c r="D356" s="50" t="s">
        <v>369</v>
      </c>
      <c r="E356" s="50" t="s">
        <v>61</v>
      </c>
      <c r="F356" s="50" t="s">
        <v>286</v>
      </c>
      <c r="G356" s="50" t="s">
        <v>74</v>
      </c>
      <c r="H356" s="50" t="s">
        <v>302</v>
      </c>
      <c r="I356" s="50" t="s">
        <v>91</v>
      </c>
      <c r="J356" s="50" t="s">
        <v>286</v>
      </c>
      <c r="K356" s="50" t="s">
        <v>291</v>
      </c>
      <c r="L356" s="50" t="s">
        <v>286</v>
      </c>
      <c r="M356" s="50" t="s">
        <v>370</v>
      </c>
      <c r="N356" s="111">
        <v>5</v>
      </c>
      <c r="O356" s="111">
        <v>5</v>
      </c>
      <c r="P356" s="111">
        <v>5</v>
      </c>
      <c r="Q356" s="111">
        <v>5</v>
      </c>
      <c r="R356" s="111">
        <v>5</v>
      </c>
      <c r="S356" s="111">
        <v>6</v>
      </c>
      <c r="T356" s="111">
        <v>5</v>
      </c>
      <c r="U356" s="111">
        <v>5</v>
      </c>
      <c r="V356" s="111">
        <v>6</v>
      </c>
      <c r="W356" s="111">
        <v>6</v>
      </c>
      <c r="X356" s="111">
        <v>6</v>
      </c>
      <c r="Y356" s="111">
        <v>6</v>
      </c>
      <c r="Z356" s="111">
        <v>6</v>
      </c>
      <c r="AA356" s="111">
        <v>6</v>
      </c>
      <c r="AB356" s="111">
        <v>6</v>
      </c>
      <c r="AC356" s="111">
        <v>5</v>
      </c>
      <c r="AD356" s="111">
        <v>5</v>
      </c>
      <c r="AE356" s="111">
        <v>5</v>
      </c>
      <c r="AF356" s="111">
        <v>5</v>
      </c>
      <c r="AG356" s="111">
        <v>5</v>
      </c>
      <c r="AH356" s="111">
        <v>5</v>
      </c>
      <c r="AI356" s="111">
        <v>5</v>
      </c>
      <c r="AJ356" s="111">
        <v>5</v>
      </c>
      <c r="AK356" s="111">
        <v>5</v>
      </c>
      <c r="AL356" s="111">
        <v>5</v>
      </c>
      <c r="AM356" s="111">
        <v>5</v>
      </c>
      <c r="AN356" s="111">
        <v>5</v>
      </c>
      <c r="AO356" s="111">
        <v>5</v>
      </c>
      <c r="AP356" s="111">
        <v>5</v>
      </c>
      <c r="AQ356" s="111">
        <v>6</v>
      </c>
      <c r="AR356" s="111">
        <v>5</v>
      </c>
      <c r="AS356" s="111">
        <v>5</v>
      </c>
      <c r="AT356" s="111">
        <v>5</v>
      </c>
      <c r="AU356" s="111">
        <v>5</v>
      </c>
      <c r="AV356" s="50" t="s">
        <v>202</v>
      </c>
      <c r="AW356" s="50" t="s">
        <v>202</v>
      </c>
      <c r="AX356" s="50" t="s">
        <v>199</v>
      </c>
      <c r="AY356" s="50" t="s">
        <v>199</v>
      </c>
      <c r="AZ356" s="50" t="s">
        <v>202</v>
      </c>
      <c r="BA356" s="50" t="s">
        <v>199</v>
      </c>
      <c r="BB356" s="50" t="s">
        <v>202</v>
      </c>
      <c r="BC356" s="50" t="s">
        <v>202</v>
      </c>
      <c r="BD356" s="50" t="s">
        <v>202</v>
      </c>
      <c r="BE356" s="50" t="s">
        <v>199</v>
      </c>
      <c r="BF356" s="50" t="s">
        <v>201</v>
      </c>
      <c r="BG356" s="50" t="s">
        <v>202</v>
      </c>
      <c r="BH356" s="50" t="s">
        <v>200</v>
      </c>
      <c r="BI356" s="50" t="s">
        <v>202</v>
      </c>
      <c r="BJ356" s="50" t="s">
        <v>202</v>
      </c>
      <c r="BK356" s="50" t="s">
        <v>202</v>
      </c>
      <c r="BL356" s="50" t="s">
        <v>202</v>
      </c>
      <c r="BM356" s="50" t="s">
        <v>436</v>
      </c>
      <c r="BN356" s="50" t="s">
        <v>318</v>
      </c>
      <c r="BO356" s="112" t="s">
        <v>465</v>
      </c>
      <c r="BP356" s="50"/>
      <c r="BQ356" s="50" t="s">
        <v>287</v>
      </c>
      <c r="BR356" s="50" t="s">
        <v>392</v>
      </c>
      <c r="BS356" s="111">
        <v>5</v>
      </c>
      <c r="BT356" s="50" t="s">
        <v>286</v>
      </c>
      <c r="BU356" s="50" t="s">
        <v>348</v>
      </c>
      <c r="BV356" s="50" t="s">
        <v>288</v>
      </c>
      <c r="BW356" s="50" t="s">
        <v>350</v>
      </c>
      <c r="BX356" s="50" t="s">
        <v>387</v>
      </c>
      <c r="BY356" s="50" t="s">
        <v>288</v>
      </c>
      <c r="BZ356" s="50" t="s">
        <v>287</v>
      </c>
      <c r="CA356" s="50"/>
      <c r="CB356" s="50" t="s">
        <v>287</v>
      </c>
      <c r="CC356" s="50" t="s">
        <v>287</v>
      </c>
      <c r="CD356" s="50" t="s">
        <v>287</v>
      </c>
      <c r="CE356" s="50"/>
      <c r="CF356" s="50" t="s">
        <v>287</v>
      </c>
      <c r="CG356" s="50" t="s">
        <v>287</v>
      </c>
      <c r="CH356" s="50" t="s">
        <v>486</v>
      </c>
      <c r="CI356" s="50" t="s">
        <v>287</v>
      </c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</row>
    <row r="357" spans="1:97" ht="45" customHeight="1" thickBot="1">
      <c r="A357" s="49">
        <v>46107.552106481482</v>
      </c>
      <c r="B357" s="50" t="s">
        <v>36</v>
      </c>
      <c r="C357" s="50" t="s">
        <v>45</v>
      </c>
      <c r="D357" s="50" t="s">
        <v>369</v>
      </c>
      <c r="E357" s="50" t="s">
        <v>61</v>
      </c>
      <c r="F357" s="50" t="s">
        <v>286</v>
      </c>
      <c r="G357" s="50" t="s">
        <v>74</v>
      </c>
      <c r="H357" s="50" t="s">
        <v>347</v>
      </c>
      <c r="I357" s="50" t="s">
        <v>91</v>
      </c>
      <c r="J357" s="50" t="s">
        <v>286</v>
      </c>
      <c r="K357" s="50" t="s">
        <v>291</v>
      </c>
      <c r="L357" s="50" t="s">
        <v>286</v>
      </c>
      <c r="M357" s="50" t="s">
        <v>370</v>
      </c>
      <c r="N357" s="111">
        <v>5</v>
      </c>
      <c r="O357" s="111">
        <v>5</v>
      </c>
      <c r="P357" s="111">
        <v>5</v>
      </c>
      <c r="Q357" s="111">
        <v>5</v>
      </c>
      <c r="R357" s="111">
        <v>5</v>
      </c>
      <c r="S357" s="111">
        <v>6</v>
      </c>
      <c r="T357" s="111">
        <v>5</v>
      </c>
      <c r="U357" s="111">
        <v>5</v>
      </c>
      <c r="V357" s="111">
        <v>6</v>
      </c>
      <c r="W357" s="111">
        <v>6</v>
      </c>
      <c r="X357" s="111">
        <v>6</v>
      </c>
      <c r="Y357" s="111">
        <v>6</v>
      </c>
      <c r="Z357" s="111">
        <v>6</v>
      </c>
      <c r="AA357" s="111">
        <v>6</v>
      </c>
      <c r="AB357" s="111">
        <v>6</v>
      </c>
      <c r="AC357" s="111">
        <v>5</v>
      </c>
      <c r="AD357" s="111">
        <v>5</v>
      </c>
      <c r="AE357" s="111">
        <v>5</v>
      </c>
      <c r="AF357" s="111">
        <v>5</v>
      </c>
      <c r="AG357" s="111">
        <v>5</v>
      </c>
      <c r="AH357" s="111">
        <v>5</v>
      </c>
      <c r="AI357" s="111">
        <v>5</v>
      </c>
      <c r="AJ357" s="111">
        <v>5</v>
      </c>
      <c r="AK357" s="111">
        <v>5</v>
      </c>
      <c r="AL357" s="111">
        <v>5</v>
      </c>
      <c r="AM357" s="111">
        <v>5</v>
      </c>
      <c r="AN357" s="111">
        <v>5</v>
      </c>
      <c r="AO357" s="111">
        <v>5</v>
      </c>
      <c r="AP357" s="111">
        <v>5</v>
      </c>
      <c r="AQ357" s="111">
        <v>6</v>
      </c>
      <c r="AR357" s="111">
        <v>5</v>
      </c>
      <c r="AS357" s="111">
        <v>5</v>
      </c>
      <c r="AT357" s="111">
        <v>5</v>
      </c>
      <c r="AU357" s="111">
        <v>5</v>
      </c>
      <c r="AV357" s="50" t="s">
        <v>202</v>
      </c>
      <c r="AW357" s="50" t="s">
        <v>202</v>
      </c>
      <c r="AX357" s="50" t="s">
        <v>201</v>
      </c>
      <c r="AY357" s="50" t="s">
        <v>199</v>
      </c>
      <c r="AZ357" s="50" t="s">
        <v>202</v>
      </c>
      <c r="BA357" s="50" t="s">
        <v>199</v>
      </c>
      <c r="BB357" s="50" t="s">
        <v>202</v>
      </c>
      <c r="BC357" s="50" t="s">
        <v>202</v>
      </c>
      <c r="BD357" s="50" t="s">
        <v>202</v>
      </c>
      <c r="BE357" s="50" t="s">
        <v>200</v>
      </c>
      <c r="BF357" s="50" t="s">
        <v>201</v>
      </c>
      <c r="BG357" s="50" t="s">
        <v>202</v>
      </c>
      <c r="BH357" s="50" t="s">
        <v>201</v>
      </c>
      <c r="BI357" s="50" t="s">
        <v>202</v>
      </c>
      <c r="BJ357" s="50" t="s">
        <v>202</v>
      </c>
      <c r="BK357" s="50" t="s">
        <v>202</v>
      </c>
      <c r="BL357" s="50" t="s">
        <v>202</v>
      </c>
      <c r="BM357" s="50" t="s">
        <v>436</v>
      </c>
      <c r="BN357" s="50" t="s">
        <v>388</v>
      </c>
      <c r="BO357" s="50" t="s">
        <v>91</v>
      </c>
      <c r="BP357" s="50" t="s">
        <v>286</v>
      </c>
      <c r="BQ357" s="50" t="s">
        <v>287</v>
      </c>
      <c r="BR357" s="50" t="s">
        <v>394</v>
      </c>
      <c r="BS357" s="111">
        <v>5</v>
      </c>
      <c r="BT357" s="50" t="s">
        <v>286</v>
      </c>
      <c r="BU357" s="50" t="s">
        <v>348</v>
      </c>
      <c r="BV357" s="50" t="s">
        <v>288</v>
      </c>
      <c r="BW357" s="50" t="s">
        <v>350</v>
      </c>
      <c r="BX357" s="50" t="s">
        <v>387</v>
      </c>
      <c r="BY357" s="50" t="s">
        <v>288</v>
      </c>
      <c r="BZ357" s="50" t="s">
        <v>287</v>
      </c>
      <c r="CA357" s="50"/>
      <c r="CB357" s="50" t="s">
        <v>287</v>
      </c>
      <c r="CC357" s="50" t="s">
        <v>287</v>
      </c>
      <c r="CD357" s="50" t="s">
        <v>287</v>
      </c>
      <c r="CE357" s="50"/>
      <c r="CF357" s="50" t="s">
        <v>287</v>
      </c>
      <c r="CG357" s="50" t="s">
        <v>287</v>
      </c>
      <c r="CH357" s="50" t="s">
        <v>486</v>
      </c>
      <c r="CI357" s="50" t="s">
        <v>287</v>
      </c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</row>
    <row r="358" spans="1:97" ht="93.6" thickBot="1">
      <c r="A358" s="49">
        <v>46107.561076388891</v>
      </c>
      <c r="B358" s="50" t="s">
        <v>40</v>
      </c>
      <c r="C358" s="50" t="s">
        <v>46</v>
      </c>
      <c r="D358" s="50" t="s">
        <v>385</v>
      </c>
      <c r="E358" s="50" t="s">
        <v>60</v>
      </c>
      <c r="F358" s="50" t="s">
        <v>440</v>
      </c>
      <c r="G358" s="50" t="s">
        <v>73</v>
      </c>
      <c r="H358" s="50" t="s">
        <v>332</v>
      </c>
      <c r="I358" s="50" t="s">
        <v>91</v>
      </c>
      <c r="J358" s="50" t="s">
        <v>286</v>
      </c>
      <c r="K358" s="50" t="s">
        <v>291</v>
      </c>
      <c r="L358" s="50" t="s">
        <v>286</v>
      </c>
      <c r="M358" s="50" t="s">
        <v>370</v>
      </c>
      <c r="N358" s="111">
        <v>5</v>
      </c>
      <c r="O358" s="111">
        <v>5</v>
      </c>
      <c r="P358" s="111">
        <v>5</v>
      </c>
      <c r="Q358" s="111">
        <v>6</v>
      </c>
      <c r="R358" s="111">
        <v>6</v>
      </c>
      <c r="S358" s="111">
        <v>6</v>
      </c>
      <c r="T358" s="111">
        <v>5</v>
      </c>
      <c r="U358" s="111">
        <v>5</v>
      </c>
      <c r="V358" s="111">
        <v>6</v>
      </c>
      <c r="W358" s="111">
        <v>6</v>
      </c>
      <c r="X358" s="111">
        <v>6</v>
      </c>
      <c r="Y358" s="111">
        <v>6</v>
      </c>
      <c r="Z358" s="111">
        <v>6</v>
      </c>
      <c r="AA358" s="111">
        <v>6</v>
      </c>
      <c r="AB358" s="111">
        <v>6</v>
      </c>
      <c r="AC358" s="111">
        <v>5</v>
      </c>
      <c r="AD358" s="111">
        <v>5</v>
      </c>
      <c r="AE358" s="111">
        <v>5</v>
      </c>
      <c r="AF358" s="111">
        <v>5</v>
      </c>
      <c r="AG358" s="111">
        <v>5</v>
      </c>
      <c r="AH358" s="111">
        <v>5</v>
      </c>
      <c r="AI358" s="111">
        <v>5</v>
      </c>
      <c r="AJ358" s="111">
        <v>5</v>
      </c>
      <c r="AK358" s="111">
        <v>5</v>
      </c>
      <c r="AL358" s="111">
        <v>5</v>
      </c>
      <c r="AM358" s="111">
        <v>5</v>
      </c>
      <c r="AN358" s="111">
        <v>5</v>
      </c>
      <c r="AO358" s="111">
        <v>5</v>
      </c>
      <c r="AP358" s="111">
        <v>5</v>
      </c>
      <c r="AQ358" s="111">
        <v>6</v>
      </c>
      <c r="AR358" s="111">
        <v>5</v>
      </c>
      <c r="AS358" s="111">
        <v>5</v>
      </c>
      <c r="AT358" s="111">
        <v>5</v>
      </c>
      <c r="AU358" s="111">
        <v>5</v>
      </c>
      <c r="AV358" s="50" t="s">
        <v>202</v>
      </c>
      <c r="AW358" s="50" t="s">
        <v>202</v>
      </c>
      <c r="AX358" s="50" t="s">
        <v>201</v>
      </c>
      <c r="AY358" s="50" t="s">
        <v>199</v>
      </c>
      <c r="AZ358" s="50" t="s">
        <v>202</v>
      </c>
      <c r="BA358" s="50" t="s">
        <v>200</v>
      </c>
      <c r="BB358" s="50" t="s">
        <v>202</v>
      </c>
      <c r="BC358" s="50" t="s">
        <v>202</v>
      </c>
      <c r="BD358" s="50" t="s">
        <v>202</v>
      </c>
      <c r="BE358" s="50" t="s">
        <v>202</v>
      </c>
      <c r="BF358" s="50" t="s">
        <v>201</v>
      </c>
      <c r="BG358" s="50" t="s">
        <v>202</v>
      </c>
      <c r="BH358" s="50" t="s">
        <v>200</v>
      </c>
      <c r="BI358" s="50" t="s">
        <v>202</v>
      </c>
      <c r="BJ358" s="50" t="s">
        <v>202</v>
      </c>
      <c r="BK358" s="50" t="s">
        <v>202</v>
      </c>
      <c r="BL358" s="50" t="s">
        <v>202</v>
      </c>
      <c r="BM358" s="50" t="s">
        <v>436</v>
      </c>
      <c r="BN358" s="50" t="s">
        <v>480</v>
      </c>
      <c r="BO358" s="50" t="s">
        <v>91</v>
      </c>
      <c r="BP358" s="50" t="s">
        <v>286</v>
      </c>
      <c r="BQ358" s="50" t="s">
        <v>287</v>
      </c>
      <c r="BR358" s="50" t="s">
        <v>448</v>
      </c>
      <c r="BS358" s="111">
        <v>5</v>
      </c>
      <c r="BT358" s="50" t="s">
        <v>286</v>
      </c>
      <c r="BU358" s="50" t="s">
        <v>348</v>
      </c>
      <c r="BV358" s="50" t="s">
        <v>288</v>
      </c>
      <c r="BW358" s="50" t="s">
        <v>350</v>
      </c>
      <c r="BX358" s="50" t="s">
        <v>387</v>
      </c>
      <c r="BY358" s="50" t="s">
        <v>288</v>
      </c>
      <c r="BZ358" s="50" t="s">
        <v>287</v>
      </c>
      <c r="CA358" s="50"/>
      <c r="CB358" s="50" t="s">
        <v>287</v>
      </c>
      <c r="CC358" s="50" t="s">
        <v>287</v>
      </c>
      <c r="CD358" s="50" t="s">
        <v>287</v>
      </c>
      <c r="CE358" s="50"/>
      <c r="CF358" s="50" t="s">
        <v>287</v>
      </c>
      <c r="CG358" s="50" t="s">
        <v>287</v>
      </c>
      <c r="CH358" s="50" t="s">
        <v>486</v>
      </c>
      <c r="CI358" s="50" t="s">
        <v>287</v>
      </c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</row>
    <row r="359" spans="1:97" ht="80.400000000000006" thickBot="1">
      <c r="A359" s="49">
        <v>46107.564687500002</v>
      </c>
      <c r="B359" s="50" t="s">
        <v>36</v>
      </c>
      <c r="C359" s="50" t="s">
        <v>45</v>
      </c>
      <c r="D359" s="50" t="s">
        <v>369</v>
      </c>
      <c r="E359" s="50" t="s">
        <v>285</v>
      </c>
      <c r="F359" s="50" t="s">
        <v>286</v>
      </c>
      <c r="G359" s="50" t="s">
        <v>74</v>
      </c>
      <c r="H359" s="50" t="s">
        <v>347</v>
      </c>
      <c r="I359" s="50" t="s">
        <v>91</v>
      </c>
      <c r="J359" s="50" t="s">
        <v>286</v>
      </c>
      <c r="K359" s="50" t="s">
        <v>291</v>
      </c>
      <c r="L359" s="50" t="s">
        <v>286</v>
      </c>
      <c r="M359" s="50" t="s">
        <v>370</v>
      </c>
      <c r="N359" s="111">
        <v>5</v>
      </c>
      <c r="O359" s="111">
        <v>5</v>
      </c>
      <c r="P359" s="111">
        <v>5</v>
      </c>
      <c r="Q359" s="111">
        <v>5</v>
      </c>
      <c r="R359" s="111">
        <v>5</v>
      </c>
      <c r="S359" s="111">
        <v>6</v>
      </c>
      <c r="T359" s="111">
        <v>5</v>
      </c>
      <c r="U359" s="111">
        <v>5</v>
      </c>
      <c r="V359" s="111">
        <v>6</v>
      </c>
      <c r="W359" s="111">
        <v>6</v>
      </c>
      <c r="X359" s="111">
        <v>6</v>
      </c>
      <c r="Y359" s="111">
        <v>6</v>
      </c>
      <c r="Z359" s="111">
        <v>6</v>
      </c>
      <c r="AA359" s="111">
        <v>6</v>
      </c>
      <c r="AB359" s="111">
        <v>6</v>
      </c>
      <c r="AC359" s="111">
        <v>5</v>
      </c>
      <c r="AD359" s="111">
        <v>5</v>
      </c>
      <c r="AE359" s="111">
        <v>5</v>
      </c>
      <c r="AF359" s="111">
        <v>5</v>
      </c>
      <c r="AG359" s="111">
        <v>5</v>
      </c>
      <c r="AH359" s="111">
        <v>5</v>
      </c>
      <c r="AI359" s="111">
        <v>5</v>
      </c>
      <c r="AJ359" s="111">
        <v>5</v>
      </c>
      <c r="AK359" s="111">
        <v>5</v>
      </c>
      <c r="AL359" s="111">
        <v>5</v>
      </c>
      <c r="AM359" s="111">
        <v>5</v>
      </c>
      <c r="AN359" s="111">
        <v>5</v>
      </c>
      <c r="AO359" s="111">
        <v>5</v>
      </c>
      <c r="AP359" s="111">
        <v>5</v>
      </c>
      <c r="AQ359" s="111">
        <v>6</v>
      </c>
      <c r="AR359" s="111">
        <v>5</v>
      </c>
      <c r="AS359" s="111">
        <v>5</v>
      </c>
      <c r="AT359" s="111">
        <v>5</v>
      </c>
      <c r="AU359" s="111">
        <v>5</v>
      </c>
      <c r="AV359" s="50" t="s">
        <v>202</v>
      </c>
      <c r="AW359" s="50" t="s">
        <v>202</v>
      </c>
      <c r="AX359" s="50" t="s">
        <v>201</v>
      </c>
      <c r="AY359" s="50" t="s">
        <v>199</v>
      </c>
      <c r="AZ359" s="50" t="s">
        <v>202</v>
      </c>
      <c r="BA359" s="50" t="s">
        <v>199</v>
      </c>
      <c r="BB359" s="50" t="s">
        <v>202</v>
      </c>
      <c r="BC359" s="50" t="s">
        <v>202</v>
      </c>
      <c r="BD359" s="50" t="s">
        <v>202</v>
      </c>
      <c r="BE359" s="50" t="s">
        <v>202</v>
      </c>
      <c r="BF359" s="50" t="s">
        <v>201</v>
      </c>
      <c r="BG359" s="50" t="s">
        <v>202</v>
      </c>
      <c r="BH359" s="50" t="s">
        <v>200</v>
      </c>
      <c r="BI359" s="50" t="s">
        <v>202</v>
      </c>
      <c r="BJ359" s="50" t="s">
        <v>202</v>
      </c>
      <c r="BK359" s="50" t="s">
        <v>202</v>
      </c>
      <c r="BL359" s="50" t="s">
        <v>202</v>
      </c>
      <c r="BM359" s="50" t="s">
        <v>436</v>
      </c>
      <c r="BN359" s="50" t="s">
        <v>318</v>
      </c>
      <c r="BO359" s="50" t="s">
        <v>91</v>
      </c>
      <c r="BP359" s="50" t="s">
        <v>286</v>
      </c>
      <c r="BQ359" s="50" t="s">
        <v>287</v>
      </c>
      <c r="BR359" s="50" t="s">
        <v>372</v>
      </c>
      <c r="BS359" s="111">
        <v>5</v>
      </c>
      <c r="BT359" s="50" t="s">
        <v>286</v>
      </c>
      <c r="BU359" s="50" t="s">
        <v>348</v>
      </c>
      <c r="BV359" s="50" t="s">
        <v>288</v>
      </c>
      <c r="BW359" s="50" t="s">
        <v>350</v>
      </c>
      <c r="BX359" s="50" t="s">
        <v>387</v>
      </c>
      <c r="BY359" s="50" t="s">
        <v>288</v>
      </c>
      <c r="BZ359" s="50" t="s">
        <v>287</v>
      </c>
      <c r="CA359" s="50"/>
      <c r="CB359" s="50" t="s">
        <v>287</v>
      </c>
      <c r="CC359" s="50" t="s">
        <v>287</v>
      </c>
      <c r="CD359" s="50" t="s">
        <v>287</v>
      </c>
      <c r="CE359" s="50"/>
      <c r="CF359" s="50" t="s">
        <v>287</v>
      </c>
      <c r="CG359" s="50" t="s">
        <v>287</v>
      </c>
      <c r="CH359" s="50" t="s">
        <v>486</v>
      </c>
      <c r="CI359" s="50" t="s">
        <v>287</v>
      </c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</row>
    <row r="360" spans="1:97" ht="106.8" thickBot="1">
      <c r="A360" s="49">
        <v>46107.579108796293</v>
      </c>
      <c r="B360" s="50" t="s">
        <v>38</v>
      </c>
      <c r="C360" s="50" t="s">
        <v>45</v>
      </c>
      <c r="D360" s="50" t="s">
        <v>374</v>
      </c>
      <c r="E360" s="50" t="s">
        <v>61</v>
      </c>
      <c r="F360" s="50" t="s">
        <v>286</v>
      </c>
      <c r="G360" s="50" t="s">
        <v>73</v>
      </c>
      <c r="H360" s="50" t="s">
        <v>286</v>
      </c>
      <c r="I360" s="50" t="s">
        <v>91</v>
      </c>
      <c r="J360" s="50" t="s">
        <v>286</v>
      </c>
      <c r="K360" s="50" t="s">
        <v>291</v>
      </c>
      <c r="L360" s="50" t="s">
        <v>286</v>
      </c>
      <c r="M360" s="50" t="s">
        <v>370</v>
      </c>
      <c r="N360" s="111">
        <v>5</v>
      </c>
      <c r="O360" s="111">
        <v>5</v>
      </c>
      <c r="P360" s="111">
        <v>5</v>
      </c>
      <c r="Q360" s="111">
        <v>5</v>
      </c>
      <c r="R360" s="111">
        <v>5</v>
      </c>
      <c r="S360" s="111">
        <v>6</v>
      </c>
      <c r="T360" s="111">
        <v>5</v>
      </c>
      <c r="U360" s="111">
        <v>5</v>
      </c>
      <c r="V360" s="111">
        <v>6</v>
      </c>
      <c r="W360" s="111">
        <v>6</v>
      </c>
      <c r="X360" s="111">
        <v>6</v>
      </c>
      <c r="Y360" s="111">
        <v>6</v>
      </c>
      <c r="Z360" s="111">
        <v>6</v>
      </c>
      <c r="AA360" s="111">
        <v>6</v>
      </c>
      <c r="AB360" s="111">
        <v>6</v>
      </c>
      <c r="AC360" s="111">
        <v>5</v>
      </c>
      <c r="AD360" s="111">
        <v>5</v>
      </c>
      <c r="AE360" s="111">
        <v>5</v>
      </c>
      <c r="AF360" s="111">
        <v>5</v>
      </c>
      <c r="AG360" s="111">
        <v>5</v>
      </c>
      <c r="AH360" s="111">
        <v>5</v>
      </c>
      <c r="AI360" s="111">
        <v>5</v>
      </c>
      <c r="AJ360" s="111">
        <v>5</v>
      </c>
      <c r="AK360" s="111">
        <v>5</v>
      </c>
      <c r="AL360" s="111">
        <v>5</v>
      </c>
      <c r="AM360" s="111">
        <v>5</v>
      </c>
      <c r="AN360" s="111">
        <v>5</v>
      </c>
      <c r="AO360" s="111">
        <v>5</v>
      </c>
      <c r="AP360" s="111">
        <v>5</v>
      </c>
      <c r="AQ360" s="111">
        <v>6</v>
      </c>
      <c r="AR360" s="111">
        <v>5</v>
      </c>
      <c r="AS360" s="111">
        <v>5</v>
      </c>
      <c r="AT360" s="111">
        <v>5</v>
      </c>
      <c r="AU360" s="111">
        <v>5</v>
      </c>
      <c r="AV360" s="50" t="s">
        <v>202</v>
      </c>
      <c r="AW360" s="50" t="s">
        <v>202</v>
      </c>
      <c r="AX360" s="50" t="s">
        <v>201</v>
      </c>
      <c r="AY360" s="50" t="s">
        <v>199</v>
      </c>
      <c r="AZ360" s="50" t="s">
        <v>202</v>
      </c>
      <c r="BA360" s="50" t="s">
        <v>200</v>
      </c>
      <c r="BB360" s="50" t="s">
        <v>202</v>
      </c>
      <c r="BC360" s="50" t="s">
        <v>202</v>
      </c>
      <c r="BD360" s="50" t="s">
        <v>202</v>
      </c>
      <c r="BE360" s="50" t="s">
        <v>200</v>
      </c>
      <c r="BF360" s="50" t="s">
        <v>201</v>
      </c>
      <c r="BG360" s="50" t="s">
        <v>202</v>
      </c>
      <c r="BH360" s="50" t="s">
        <v>200</v>
      </c>
      <c r="BI360" s="50" t="s">
        <v>202</v>
      </c>
      <c r="BJ360" s="50" t="s">
        <v>202</v>
      </c>
      <c r="BK360" s="50" t="s">
        <v>202</v>
      </c>
      <c r="BL360" s="50" t="s">
        <v>202</v>
      </c>
      <c r="BM360" s="50" t="s">
        <v>436</v>
      </c>
      <c r="BN360" s="50" t="s">
        <v>435</v>
      </c>
      <c r="BO360" s="50" t="s">
        <v>91</v>
      </c>
      <c r="BP360" s="50" t="s">
        <v>286</v>
      </c>
      <c r="BQ360" s="50" t="s">
        <v>287</v>
      </c>
      <c r="BR360" s="50" t="s">
        <v>591</v>
      </c>
      <c r="BS360" s="111">
        <v>5</v>
      </c>
      <c r="BT360" s="50" t="s">
        <v>286</v>
      </c>
      <c r="BU360" s="50" t="s">
        <v>348</v>
      </c>
      <c r="BV360" s="50" t="s">
        <v>288</v>
      </c>
      <c r="BW360" s="50" t="s">
        <v>350</v>
      </c>
      <c r="BX360" s="50" t="s">
        <v>387</v>
      </c>
      <c r="BY360" s="50" t="s">
        <v>288</v>
      </c>
      <c r="BZ360" s="50" t="s">
        <v>287</v>
      </c>
      <c r="CA360" s="50"/>
      <c r="CB360" s="50" t="s">
        <v>287</v>
      </c>
      <c r="CC360" s="50" t="s">
        <v>287</v>
      </c>
      <c r="CD360" s="50" t="s">
        <v>287</v>
      </c>
      <c r="CE360" s="50"/>
      <c r="CF360" s="50" t="s">
        <v>287</v>
      </c>
      <c r="CG360" s="50" t="s">
        <v>287</v>
      </c>
      <c r="CH360" s="50" t="s">
        <v>486</v>
      </c>
      <c r="CI360" s="50" t="s">
        <v>287</v>
      </c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</row>
    <row r="361" spans="1:97" ht="80.400000000000006" thickBot="1">
      <c r="A361" s="49">
        <v>46107.583414351851</v>
      </c>
      <c r="B361" s="50" t="s">
        <v>40</v>
      </c>
      <c r="C361" s="50" t="s">
        <v>45</v>
      </c>
      <c r="D361" s="50" t="s">
        <v>374</v>
      </c>
      <c r="E361" s="50" t="s">
        <v>61</v>
      </c>
      <c r="F361" s="50" t="s">
        <v>286</v>
      </c>
      <c r="G361" s="50" t="s">
        <v>73</v>
      </c>
      <c r="H361" s="50" t="s">
        <v>401</v>
      </c>
      <c r="I361" s="50" t="s">
        <v>81</v>
      </c>
      <c r="J361" s="50" t="s">
        <v>286</v>
      </c>
      <c r="K361" s="50" t="s">
        <v>287</v>
      </c>
      <c r="L361" s="50" t="s">
        <v>379</v>
      </c>
      <c r="M361" s="50" t="s">
        <v>370</v>
      </c>
      <c r="N361" s="111">
        <v>5</v>
      </c>
      <c r="O361" s="111">
        <v>5</v>
      </c>
      <c r="P361" s="111">
        <v>5</v>
      </c>
      <c r="Q361" s="111">
        <v>6</v>
      </c>
      <c r="R361" s="111">
        <v>6</v>
      </c>
      <c r="S361" s="111">
        <v>6</v>
      </c>
      <c r="T361" s="111">
        <v>5</v>
      </c>
      <c r="U361" s="111">
        <v>5</v>
      </c>
      <c r="V361" s="111">
        <v>6</v>
      </c>
      <c r="W361" s="111">
        <v>6</v>
      </c>
      <c r="X361" s="111">
        <v>6</v>
      </c>
      <c r="Y361" s="111">
        <v>6</v>
      </c>
      <c r="Z361" s="111">
        <v>6</v>
      </c>
      <c r="AA361" s="111">
        <v>5</v>
      </c>
      <c r="AB361" s="111">
        <v>6</v>
      </c>
      <c r="AC361" s="111">
        <v>5</v>
      </c>
      <c r="AD361" s="111">
        <v>5</v>
      </c>
      <c r="AE361" s="111">
        <v>5</v>
      </c>
      <c r="AF361" s="111">
        <v>5</v>
      </c>
      <c r="AG361" s="111">
        <v>5</v>
      </c>
      <c r="AH361" s="111">
        <v>5</v>
      </c>
      <c r="AI361" s="111">
        <v>5</v>
      </c>
      <c r="AJ361" s="111">
        <v>5</v>
      </c>
      <c r="AK361" s="111">
        <v>5</v>
      </c>
      <c r="AL361" s="111">
        <v>5</v>
      </c>
      <c r="AM361" s="111">
        <v>5</v>
      </c>
      <c r="AN361" s="111">
        <v>5</v>
      </c>
      <c r="AO361" s="111">
        <v>5</v>
      </c>
      <c r="AP361" s="111">
        <v>5</v>
      </c>
      <c r="AQ361" s="111">
        <v>6</v>
      </c>
      <c r="AR361" s="111">
        <v>5</v>
      </c>
      <c r="AS361" s="111">
        <v>5</v>
      </c>
      <c r="AT361" s="111">
        <v>5</v>
      </c>
      <c r="AU361" s="111">
        <v>5</v>
      </c>
      <c r="AV361" s="50" t="s">
        <v>202</v>
      </c>
      <c r="AW361" s="50" t="s">
        <v>199</v>
      </c>
      <c r="AX361" s="50" t="s">
        <v>199</v>
      </c>
      <c r="AY361" s="50" t="s">
        <v>199</v>
      </c>
      <c r="AZ361" s="50" t="s">
        <v>202</v>
      </c>
      <c r="BA361" s="50" t="s">
        <v>199</v>
      </c>
      <c r="BB361" s="50" t="s">
        <v>202</v>
      </c>
      <c r="BC361" s="50" t="s">
        <v>202</v>
      </c>
      <c r="BD361" s="50" t="s">
        <v>202</v>
      </c>
      <c r="BE361" s="50" t="s">
        <v>199</v>
      </c>
      <c r="BF361" s="50" t="s">
        <v>201</v>
      </c>
      <c r="BG361" s="50" t="s">
        <v>202</v>
      </c>
      <c r="BH361" s="50" t="s">
        <v>200</v>
      </c>
      <c r="BI361" s="50" t="s">
        <v>202</v>
      </c>
      <c r="BJ361" s="50" t="s">
        <v>202</v>
      </c>
      <c r="BK361" s="50" t="s">
        <v>202</v>
      </c>
      <c r="BL361" s="50" t="s">
        <v>202</v>
      </c>
      <c r="BM361" s="50" t="s">
        <v>436</v>
      </c>
      <c r="BN361" s="50" t="s">
        <v>479</v>
      </c>
      <c r="BO361" s="50" t="s">
        <v>91</v>
      </c>
      <c r="BP361" s="50" t="s">
        <v>286</v>
      </c>
      <c r="BQ361" s="50" t="s">
        <v>287</v>
      </c>
      <c r="BR361" s="50" t="s">
        <v>372</v>
      </c>
      <c r="BS361" s="111">
        <v>5</v>
      </c>
      <c r="BT361" s="50" t="s">
        <v>286</v>
      </c>
      <c r="BU361" s="50" t="s">
        <v>348</v>
      </c>
      <c r="BV361" s="50" t="s">
        <v>288</v>
      </c>
      <c r="BW361" s="50" t="s">
        <v>350</v>
      </c>
      <c r="BX361" s="50" t="s">
        <v>387</v>
      </c>
      <c r="BY361" s="50" t="s">
        <v>288</v>
      </c>
      <c r="BZ361" s="50" t="s">
        <v>287</v>
      </c>
      <c r="CA361" s="50"/>
      <c r="CB361" s="50" t="s">
        <v>287</v>
      </c>
      <c r="CC361" s="50" t="s">
        <v>287</v>
      </c>
      <c r="CD361" s="50" t="s">
        <v>287</v>
      </c>
      <c r="CE361" s="50"/>
      <c r="CF361" s="50" t="s">
        <v>287</v>
      </c>
      <c r="CG361" s="50" t="s">
        <v>287</v>
      </c>
      <c r="CH361" s="50" t="s">
        <v>486</v>
      </c>
      <c r="CI361" s="50" t="s">
        <v>287</v>
      </c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</row>
    <row r="362" spans="1:97" ht="80.400000000000006" thickBot="1">
      <c r="A362" s="49">
        <v>46107.598171296297</v>
      </c>
      <c r="B362" s="50" t="s">
        <v>40</v>
      </c>
      <c r="C362" s="50" t="s">
        <v>45</v>
      </c>
      <c r="D362" s="50" t="s">
        <v>374</v>
      </c>
      <c r="E362" s="50" t="s">
        <v>61</v>
      </c>
      <c r="F362" s="50" t="s">
        <v>286</v>
      </c>
      <c r="G362" s="50" t="s">
        <v>73</v>
      </c>
      <c r="H362" s="50" t="s">
        <v>592</v>
      </c>
      <c r="I362" s="50" t="s">
        <v>81</v>
      </c>
      <c r="J362" s="50" t="s">
        <v>286</v>
      </c>
      <c r="K362" s="50" t="s">
        <v>291</v>
      </c>
      <c r="L362" s="50" t="s">
        <v>286</v>
      </c>
      <c r="M362" s="50" t="s">
        <v>370</v>
      </c>
      <c r="N362" s="111">
        <v>5</v>
      </c>
      <c r="O362" s="111">
        <v>5</v>
      </c>
      <c r="P362" s="111">
        <v>5</v>
      </c>
      <c r="Q362" s="111">
        <v>5</v>
      </c>
      <c r="R362" s="111">
        <v>5</v>
      </c>
      <c r="S362" s="111">
        <v>6</v>
      </c>
      <c r="T362" s="111">
        <v>5</v>
      </c>
      <c r="U362" s="111">
        <v>5</v>
      </c>
      <c r="V362" s="111">
        <v>6</v>
      </c>
      <c r="W362" s="111">
        <v>6</v>
      </c>
      <c r="X362" s="111">
        <v>6</v>
      </c>
      <c r="Y362" s="111">
        <v>6</v>
      </c>
      <c r="Z362" s="111">
        <v>6</v>
      </c>
      <c r="AA362" s="111">
        <v>6</v>
      </c>
      <c r="AB362" s="111">
        <v>6</v>
      </c>
      <c r="AC362" s="111">
        <v>5</v>
      </c>
      <c r="AD362" s="111">
        <v>5</v>
      </c>
      <c r="AE362" s="111">
        <v>5</v>
      </c>
      <c r="AF362" s="111">
        <v>5</v>
      </c>
      <c r="AG362" s="111">
        <v>5</v>
      </c>
      <c r="AH362" s="111">
        <v>5</v>
      </c>
      <c r="AI362" s="111">
        <v>5</v>
      </c>
      <c r="AJ362" s="111">
        <v>5</v>
      </c>
      <c r="AK362" s="111">
        <v>5</v>
      </c>
      <c r="AL362" s="111">
        <v>5</v>
      </c>
      <c r="AM362" s="111">
        <v>5</v>
      </c>
      <c r="AN362" s="111">
        <v>5</v>
      </c>
      <c r="AO362" s="111">
        <v>5</v>
      </c>
      <c r="AP362" s="111">
        <v>5</v>
      </c>
      <c r="AQ362" s="111">
        <v>6</v>
      </c>
      <c r="AR362" s="111">
        <v>5</v>
      </c>
      <c r="AS362" s="111">
        <v>5</v>
      </c>
      <c r="AT362" s="111">
        <v>5</v>
      </c>
      <c r="AU362" s="111">
        <v>5</v>
      </c>
      <c r="AV362" s="50" t="s">
        <v>202</v>
      </c>
      <c r="AW362" s="50" t="s">
        <v>199</v>
      </c>
      <c r="AX362" s="50" t="s">
        <v>201</v>
      </c>
      <c r="AY362" s="50" t="s">
        <v>199</v>
      </c>
      <c r="AZ362" s="50" t="s">
        <v>202</v>
      </c>
      <c r="BA362" s="50" t="s">
        <v>199</v>
      </c>
      <c r="BB362" s="50" t="s">
        <v>202</v>
      </c>
      <c r="BC362" s="50" t="s">
        <v>202</v>
      </c>
      <c r="BD362" s="50" t="s">
        <v>202</v>
      </c>
      <c r="BE362" s="50" t="s">
        <v>200</v>
      </c>
      <c r="BF362" s="50" t="s">
        <v>199</v>
      </c>
      <c r="BG362" s="50" t="s">
        <v>202</v>
      </c>
      <c r="BH362" s="50" t="s">
        <v>200</v>
      </c>
      <c r="BI362" s="50" t="s">
        <v>202</v>
      </c>
      <c r="BJ362" s="50" t="s">
        <v>202</v>
      </c>
      <c r="BK362" s="50" t="s">
        <v>202</v>
      </c>
      <c r="BL362" s="50" t="s">
        <v>202</v>
      </c>
      <c r="BM362" s="50" t="s">
        <v>436</v>
      </c>
      <c r="BN362" s="50" t="s">
        <v>318</v>
      </c>
      <c r="BO362" s="50" t="s">
        <v>91</v>
      </c>
      <c r="BP362" s="50" t="s">
        <v>286</v>
      </c>
      <c r="BQ362" s="50" t="s">
        <v>287</v>
      </c>
      <c r="BR362" s="50" t="s">
        <v>372</v>
      </c>
      <c r="BS362" s="111">
        <v>5</v>
      </c>
      <c r="BT362" s="50" t="s">
        <v>286</v>
      </c>
      <c r="BU362" s="50" t="s">
        <v>348</v>
      </c>
      <c r="BV362" s="50" t="s">
        <v>288</v>
      </c>
      <c r="BW362" s="50" t="s">
        <v>350</v>
      </c>
      <c r="BX362" s="50" t="s">
        <v>387</v>
      </c>
      <c r="BY362" s="50" t="s">
        <v>288</v>
      </c>
      <c r="BZ362" s="50" t="s">
        <v>287</v>
      </c>
      <c r="CA362" s="50"/>
      <c r="CB362" s="50" t="s">
        <v>287</v>
      </c>
      <c r="CC362" s="50" t="s">
        <v>287</v>
      </c>
      <c r="CD362" s="50" t="s">
        <v>287</v>
      </c>
      <c r="CE362" s="50"/>
      <c r="CF362" s="50" t="s">
        <v>287</v>
      </c>
      <c r="CG362" s="50" t="s">
        <v>287</v>
      </c>
      <c r="CH362" s="50" t="s">
        <v>486</v>
      </c>
      <c r="CI362" s="50" t="s">
        <v>287</v>
      </c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</row>
    <row r="363" spans="1:97" ht="80.400000000000006" thickBot="1">
      <c r="A363" s="49">
        <v>46107.60056712963</v>
      </c>
      <c r="B363" s="50" t="s">
        <v>40</v>
      </c>
      <c r="C363" s="50" t="s">
        <v>45</v>
      </c>
      <c r="D363" s="50" t="s">
        <v>369</v>
      </c>
      <c r="E363" s="50" t="s">
        <v>61</v>
      </c>
      <c r="F363" s="50" t="s">
        <v>286</v>
      </c>
      <c r="G363" s="50" t="s">
        <v>73</v>
      </c>
      <c r="H363" s="50" t="s">
        <v>307</v>
      </c>
      <c r="I363" s="50" t="s">
        <v>91</v>
      </c>
      <c r="J363" s="50" t="s">
        <v>286</v>
      </c>
      <c r="K363" s="50" t="s">
        <v>291</v>
      </c>
      <c r="L363" s="50" t="s">
        <v>286</v>
      </c>
      <c r="M363" s="50" t="s">
        <v>370</v>
      </c>
      <c r="N363" s="111">
        <v>5</v>
      </c>
      <c r="O363" s="111">
        <v>5</v>
      </c>
      <c r="P363" s="111">
        <v>5</v>
      </c>
      <c r="Q363" s="111">
        <v>5</v>
      </c>
      <c r="R363" s="111">
        <v>5</v>
      </c>
      <c r="S363" s="111">
        <v>6</v>
      </c>
      <c r="T363" s="111">
        <v>5</v>
      </c>
      <c r="U363" s="111">
        <v>5</v>
      </c>
      <c r="V363" s="111">
        <v>6</v>
      </c>
      <c r="W363" s="111">
        <v>6</v>
      </c>
      <c r="X363" s="111">
        <v>6</v>
      </c>
      <c r="Y363" s="111">
        <v>6</v>
      </c>
      <c r="Z363" s="111">
        <v>6</v>
      </c>
      <c r="AA363" s="111">
        <v>5</v>
      </c>
      <c r="AB363" s="111">
        <v>6</v>
      </c>
      <c r="AC363" s="111">
        <v>5</v>
      </c>
      <c r="AD363" s="111">
        <v>5</v>
      </c>
      <c r="AE363" s="111">
        <v>5</v>
      </c>
      <c r="AF363" s="111">
        <v>5</v>
      </c>
      <c r="AG363" s="111">
        <v>5</v>
      </c>
      <c r="AH363" s="111">
        <v>5</v>
      </c>
      <c r="AI363" s="111">
        <v>5</v>
      </c>
      <c r="AJ363" s="111">
        <v>5</v>
      </c>
      <c r="AK363" s="111">
        <v>5</v>
      </c>
      <c r="AL363" s="111">
        <v>5</v>
      </c>
      <c r="AM363" s="111">
        <v>5</v>
      </c>
      <c r="AN363" s="111">
        <v>5</v>
      </c>
      <c r="AO363" s="111">
        <v>5</v>
      </c>
      <c r="AP363" s="111">
        <v>5</v>
      </c>
      <c r="AQ363" s="111">
        <v>6</v>
      </c>
      <c r="AR363" s="111">
        <v>5</v>
      </c>
      <c r="AS363" s="111">
        <v>5</v>
      </c>
      <c r="AT363" s="111">
        <v>5</v>
      </c>
      <c r="AU363" s="111">
        <v>5</v>
      </c>
      <c r="AV363" s="50" t="s">
        <v>202</v>
      </c>
      <c r="AW363" s="50" t="s">
        <v>199</v>
      </c>
      <c r="AX363" s="50" t="s">
        <v>200</v>
      </c>
      <c r="AY363" s="50" t="s">
        <v>199</v>
      </c>
      <c r="AZ363" s="50" t="s">
        <v>202</v>
      </c>
      <c r="BA363" s="50" t="s">
        <v>199</v>
      </c>
      <c r="BB363" s="50" t="s">
        <v>202</v>
      </c>
      <c r="BC363" s="50" t="s">
        <v>202</v>
      </c>
      <c r="BD363" s="50" t="s">
        <v>202</v>
      </c>
      <c r="BE363" s="50" t="s">
        <v>199</v>
      </c>
      <c r="BF363" s="50" t="s">
        <v>199</v>
      </c>
      <c r="BG363" s="50" t="s">
        <v>202</v>
      </c>
      <c r="BH363" s="50" t="s">
        <v>199</v>
      </c>
      <c r="BI363" s="50" t="s">
        <v>202</v>
      </c>
      <c r="BJ363" s="50" t="s">
        <v>202</v>
      </c>
      <c r="BK363" s="50" t="s">
        <v>202</v>
      </c>
      <c r="BL363" s="50" t="s">
        <v>202</v>
      </c>
      <c r="BM363" s="50" t="s">
        <v>436</v>
      </c>
      <c r="BN363" s="50" t="s">
        <v>399</v>
      </c>
      <c r="BO363" s="50" t="s">
        <v>91</v>
      </c>
      <c r="BP363" s="50" t="s">
        <v>286</v>
      </c>
      <c r="BQ363" s="50" t="s">
        <v>287</v>
      </c>
      <c r="BR363" s="50" t="s">
        <v>372</v>
      </c>
      <c r="BS363" s="111">
        <v>5</v>
      </c>
      <c r="BT363" s="50" t="s">
        <v>286</v>
      </c>
      <c r="BU363" s="50" t="s">
        <v>348</v>
      </c>
      <c r="BV363" s="50" t="s">
        <v>288</v>
      </c>
      <c r="BW363" s="50" t="s">
        <v>350</v>
      </c>
      <c r="BX363" s="50" t="s">
        <v>387</v>
      </c>
      <c r="BY363" s="50" t="s">
        <v>288</v>
      </c>
      <c r="BZ363" s="50" t="s">
        <v>287</v>
      </c>
      <c r="CA363" s="50"/>
      <c r="CB363" s="50" t="s">
        <v>287</v>
      </c>
      <c r="CC363" s="50" t="s">
        <v>287</v>
      </c>
      <c r="CD363" s="50" t="s">
        <v>287</v>
      </c>
      <c r="CE363" s="50"/>
      <c r="CF363" s="50" t="s">
        <v>287</v>
      </c>
      <c r="CG363" s="50" t="s">
        <v>287</v>
      </c>
      <c r="CH363" s="50" t="s">
        <v>486</v>
      </c>
      <c r="CI363" s="50" t="s">
        <v>287</v>
      </c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</row>
    <row r="364" spans="1:97" ht="80.400000000000006" thickBot="1">
      <c r="A364" s="49">
        <v>46107.603159722225</v>
      </c>
      <c r="B364" s="50" t="s">
        <v>35</v>
      </c>
      <c r="C364" s="50" t="s">
        <v>45</v>
      </c>
      <c r="D364" s="50" t="s">
        <v>374</v>
      </c>
      <c r="E364" s="50" t="s">
        <v>62</v>
      </c>
      <c r="F364" s="50" t="s">
        <v>286</v>
      </c>
      <c r="G364" s="50" t="s">
        <v>73</v>
      </c>
      <c r="H364" s="50" t="s">
        <v>286</v>
      </c>
      <c r="I364" s="50" t="s">
        <v>91</v>
      </c>
      <c r="J364" s="50" t="s">
        <v>286</v>
      </c>
      <c r="K364" s="50" t="s">
        <v>291</v>
      </c>
      <c r="L364" s="50" t="s">
        <v>286</v>
      </c>
      <c r="M364" s="50" t="s">
        <v>370</v>
      </c>
      <c r="N364" s="111">
        <v>5</v>
      </c>
      <c r="O364" s="111">
        <v>5</v>
      </c>
      <c r="P364" s="111">
        <v>5</v>
      </c>
      <c r="Q364" s="111">
        <v>5</v>
      </c>
      <c r="R364" s="111">
        <v>5</v>
      </c>
      <c r="S364" s="111">
        <v>6</v>
      </c>
      <c r="T364" s="111">
        <v>5</v>
      </c>
      <c r="U364" s="111">
        <v>5</v>
      </c>
      <c r="V364" s="111">
        <v>6</v>
      </c>
      <c r="W364" s="111">
        <v>6</v>
      </c>
      <c r="X364" s="111">
        <v>6</v>
      </c>
      <c r="Y364" s="111">
        <v>6</v>
      </c>
      <c r="Z364" s="111">
        <v>6</v>
      </c>
      <c r="AA364" s="111">
        <v>5</v>
      </c>
      <c r="AB364" s="111">
        <v>6</v>
      </c>
      <c r="AC364" s="111">
        <v>5</v>
      </c>
      <c r="AD364" s="111">
        <v>5</v>
      </c>
      <c r="AE364" s="111">
        <v>5</v>
      </c>
      <c r="AF364" s="111">
        <v>5</v>
      </c>
      <c r="AG364" s="111">
        <v>5</v>
      </c>
      <c r="AH364" s="111">
        <v>5</v>
      </c>
      <c r="AI364" s="111">
        <v>5</v>
      </c>
      <c r="AJ364" s="111">
        <v>5</v>
      </c>
      <c r="AK364" s="111">
        <v>5</v>
      </c>
      <c r="AL364" s="111">
        <v>5</v>
      </c>
      <c r="AM364" s="111">
        <v>5</v>
      </c>
      <c r="AN364" s="111">
        <v>5</v>
      </c>
      <c r="AO364" s="111">
        <v>5</v>
      </c>
      <c r="AP364" s="111">
        <v>5</v>
      </c>
      <c r="AQ364" s="111">
        <v>6</v>
      </c>
      <c r="AR364" s="111">
        <v>5</v>
      </c>
      <c r="AS364" s="111">
        <v>5</v>
      </c>
      <c r="AT364" s="111">
        <v>5</v>
      </c>
      <c r="AU364" s="111">
        <v>5</v>
      </c>
      <c r="AV364" s="50" t="s">
        <v>202</v>
      </c>
      <c r="AW364" s="50" t="s">
        <v>199</v>
      </c>
      <c r="AX364" s="50" t="s">
        <v>201</v>
      </c>
      <c r="AY364" s="50" t="s">
        <v>199</v>
      </c>
      <c r="AZ364" s="50" t="s">
        <v>202</v>
      </c>
      <c r="BA364" s="50" t="s">
        <v>199</v>
      </c>
      <c r="BB364" s="50" t="s">
        <v>202</v>
      </c>
      <c r="BC364" s="50" t="s">
        <v>202</v>
      </c>
      <c r="BD364" s="50" t="s">
        <v>202</v>
      </c>
      <c r="BE364" s="50" t="s">
        <v>199</v>
      </c>
      <c r="BF364" s="50" t="s">
        <v>201</v>
      </c>
      <c r="BG364" s="50" t="s">
        <v>202</v>
      </c>
      <c r="BH364" s="50" t="s">
        <v>201</v>
      </c>
      <c r="BI364" s="50" t="s">
        <v>202</v>
      </c>
      <c r="BJ364" s="50" t="s">
        <v>202</v>
      </c>
      <c r="BK364" s="50" t="s">
        <v>202</v>
      </c>
      <c r="BL364" s="50" t="s">
        <v>202</v>
      </c>
      <c r="BM364" s="50" t="s">
        <v>436</v>
      </c>
      <c r="BN364" s="50" t="s">
        <v>450</v>
      </c>
      <c r="BO364" s="50" t="s">
        <v>91</v>
      </c>
      <c r="BP364" s="50" t="s">
        <v>286</v>
      </c>
      <c r="BQ364" s="50" t="s">
        <v>287</v>
      </c>
      <c r="BR364" s="50" t="s">
        <v>447</v>
      </c>
      <c r="BS364" s="111">
        <v>5</v>
      </c>
      <c r="BT364" s="50" t="s">
        <v>286</v>
      </c>
      <c r="BU364" s="50" t="s">
        <v>348</v>
      </c>
      <c r="BV364" s="50" t="s">
        <v>288</v>
      </c>
      <c r="BW364" s="50" t="s">
        <v>350</v>
      </c>
      <c r="BX364" s="50" t="s">
        <v>387</v>
      </c>
      <c r="BY364" s="50" t="s">
        <v>288</v>
      </c>
      <c r="BZ364" s="50" t="s">
        <v>287</v>
      </c>
      <c r="CA364" s="50"/>
      <c r="CB364" s="50" t="s">
        <v>287</v>
      </c>
      <c r="CC364" s="50" t="s">
        <v>287</v>
      </c>
      <c r="CD364" s="50" t="s">
        <v>287</v>
      </c>
      <c r="CE364" s="50"/>
      <c r="CF364" s="50" t="s">
        <v>287</v>
      </c>
      <c r="CG364" s="50" t="s">
        <v>287</v>
      </c>
      <c r="CH364" s="50" t="s">
        <v>486</v>
      </c>
      <c r="CI364" s="50" t="s">
        <v>287</v>
      </c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</row>
    <row r="365" spans="1:97" ht="80.400000000000006" thickBot="1">
      <c r="A365" s="49">
        <v>46113.316053240742</v>
      </c>
      <c r="B365" s="50" t="s">
        <v>40</v>
      </c>
      <c r="C365" s="50" t="s">
        <v>45</v>
      </c>
      <c r="D365" s="50" t="s">
        <v>369</v>
      </c>
      <c r="E365" s="50" t="s">
        <v>61</v>
      </c>
      <c r="F365" s="50" t="s">
        <v>375</v>
      </c>
      <c r="G365" s="50" t="s">
        <v>73</v>
      </c>
      <c r="H365" s="50" t="s">
        <v>286</v>
      </c>
      <c r="I365" s="50" t="s">
        <v>81</v>
      </c>
      <c r="J365" s="50" t="s">
        <v>286</v>
      </c>
      <c r="K365" s="50" t="s">
        <v>287</v>
      </c>
      <c r="L365" s="50" t="s">
        <v>7</v>
      </c>
      <c r="M365" s="50" t="s">
        <v>7</v>
      </c>
      <c r="N365" s="111">
        <v>6</v>
      </c>
      <c r="O365" s="111">
        <v>3</v>
      </c>
      <c r="P365" s="111">
        <v>3</v>
      </c>
      <c r="Q365" s="111">
        <v>6</v>
      </c>
      <c r="R365" s="111">
        <v>6</v>
      </c>
      <c r="S365" s="111">
        <v>3</v>
      </c>
      <c r="T365" s="111">
        <v>3</v>
      </c>
      <c r="U365" s="111">
        <v>3</v>
      </c>
      <c r="V365" s="111">
        <v>3</v>
      </c>
      <c r="W365" s="111">
        <v>3</v>
      </c>
      <c r="X365" s="111">
        <v>3</v>
      </c>
      <c r="Y365" s="111">
        <v>3</v>
      </c>
      <c r="Z365" s="111">
        <v>3</v>
      </c>
      <c r="AA365" s="111">
        <v>6</v>
      </c>
      <c r="AB365" s="111">
        <v>6</v>
      </c>
      <c r="AC365" s="111">
        <v>4</v>
      </c>
      <c r="AD365" s="111">
        <v>4</v>
      </c>
      <c r="AE365" s="111">
        <v>4</v>
      </c>
      <c r="AF365" s="111">
        <v>4</v>
      </c>
      <c r="AG365" s="111">
        <v>4</v>
      </c>
      <c r="AH365" s="111">
        <v>4</v>
      </c>
      <c r="AI365" s="111">
        <v>6</v>
      </c>
      <c r="AJ365" s="111">
        <v>4</v>
      </c>
      <c r="AK365" s="111">
        <v>6</v>
      </c>
      <c r="AL365" s="111">
        <v>6</v>
      </c>
      <c r="AM365" s="111">
        <v>6</v>
      </c>
      <c r="AN365" s="111">
        <v>3</v>
      </c>
      <c r="AO365" s="111">
        <v>6</v>
      </c>
      <c r="AP365" s="111">
        <v>3</v>
      </c>
      <c r="AQ365" s="111">
        <v>6</v>
      </c>
      <c r="AR365" s="111">
        <v>6</v>
      </c>
      <c r="AS365" s="111">
        <v>4</v>
      </c>
      <c r="AT365" s="111">
        <v>4</v>
      </c>
      <c r="AU365" s="111">
        <v>6</v>
      </c>
      <c r="AV365" s="50" t="s">
        <v>199</v>
      </c>
      <c r="AW365" s="50" t="s">
        <v>199</v>
      </c>
      <c r="AX365" s="50" t="s">
        <v>202</v>
      </c>
      <c r="AY365" s="50" t="s">
        <v>199</v>
      </c>
      <c r="AZ365" s="50" t="s">
        <v>202</v>
      </c>
      <c r="BA365" s="50" t="s">
        <v>202</v>
      </c>
      <c r="BB365" s="50" t="s">
        <v>202</v>
      </c>
      <c r="BC365" s="50" t="s">
        <v>202</v>
      </c>
      <c r="BD365" s="50" t="s">
        <v>202</v>
      </c>
      <c r="BE365" s="50" t="s">
        <v>202</v>
      </c>
      <c r="BF365" s="50" t="s">
        <v>201</v>
      </c>
      <c r="BG365" s="50" t="s">
        <v>202</v>
      </c>
      <c r="BH365" s="50" t="s">
        <v>201</v>
      </c>
      <c r="BI365" s="50" t="s">
        <v>201</v>
      </c>
      <c r="BJ365" s="50" t="s">
        <v>202</v>
      </c>
      <c r="BK365" s="50" t="s">
        <v>202</v>
      </c>
      <c r="BL365" s="50" t="s">
        <v>202</v>
      </c>
      <c r="BM365" s="50" t="s">
        <v>436</v>
      </c>
      <c r="BN365" s="50" t="s">
        <v>464</v>
      </c>
      <c r="BO365" s="50" t="s">
        <v>91</v>
      </c>
      <c r="BP365" s="50"/>
      <c r="BQ365" s="50" t="s">
        <v>287</v>
      </c>
      <c r="BR365" s="50" t="s">
        <v>373</v>
      </c>
      <c r="BS365" s="111">
        <v>4</v>
      </c>
      <c r="BT365" s="50" t="s">
        <v>358</v>
      </c>
      <c r="BU365" s="50" t="s">
        <v>312</v>
      </c>
      <c r="BV365" s="50"/>
      <c r="BW365" s="50" t="s">
        <v>350</v>
      </c>
      <c r="BX365" s="50" t="s">
        <v>296</v>
      </c>
      <c r="BY365" s="50" t="s">
        <v>288</v>
      </c>
      <c r="BZ365" s="50" t="s">
        <v>287</v>
      </c>
      <c r="CA365" s="50"/>
      <c r="CB365" s="50" t="s">
        <v>287</v>
      </c>
      <c r="CC365" s="50" t="s">
        <v>287</v>
      </c>
      <c r="CD365" s="50" t="s">
        <v>287</v>
      </c>
      <c r="CE365" s="50"/>
      <c r="CF365" s="50" t="s">
        <v>287</v>
      </c>
      <c r="CG365" s="50" t="s">
        <v>287</v>
      </c>
      <c r="CH365" s="50" t="s">
        <v>488</v>
      </c>
      <c r="CI365" s="50" t="s">
        <v>91</v>
      </c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</row>
    <row r="366" spans="1:97" ht="80.400000000000006" thickBot="1">
      <c r="A366" s="49">
        <v>46113.324004629627</v>
      </c>
      <c r="B366" s="50" t="s">
        <v>40</v>
      </c>
      <c r="C366" s="50" t="s">
        <v>46</v>
      </c>
      <c r="D366" s="50" t="s">
        <v>369</v>
      </c>
      <c r="E366" s="50" t="s">
        <v>61</v>
      </c>
      <c r="F366" s="50" t="s">
        <v>286</v>
      </c>
      <c r="G366" s="50" t="s">
        <v>74</v>
      </c>
      <c r="H366" s="50" t="s">
        <v>593</v>
      </c>
      <c r="I366" s="50" t="s">
        <v>81</v>
      </c>
      <c r="J366" s="50" t="s">
        <v>286</v>
      </c>
      <c r="K366" s="50" t="s">
        <v>287</v>
      </c>
      <c r="L366" s="50" t="s">
        <v>7</v>
      </c>
      <c r="M366" s="50" t="s">
        <v>7</v>
      </c>
      <c r="N366" s="111">
        <v>6</v>
      </c>
      <c r="O366" s="111">
        <v>6</v>
      </c>
      <c r="P366" s="111">
        <v>4</v>
      </c>
      <c r="Q366" s="111">
        <v>6</v>
      </c>
      <c r="R366" s="111">
        <v>6</v>
      </c>
      <c r="S366" s="111">
        <v>6</v>
      </c>
      <c r="T366" s="111">
        <v>4</v>
      </c>
      <c r="U366" s="111">
        <v>4</v>
      </c>
      <c r="V366" s="111">
        <v>4</v>
      </c>
      <c r="W366" s="111">
        <v>4</v>
      </c>
      <c r="X366" s="111">
        <v>4</v>
      </c>
      <c r="Y366" s="111">
        <v>4</v>
      </c>
      <c r="Z366" s="111">
        <v>4</v>
      </c>
      <c r="AA366" s="111">
        <v>6</v>
      </c>
      <c r="AB366" s="111">
        <v>6</v>
      </c>
      <c r="AC366" s="111">
        <v>4</v>
      </c>
      <c r="AD366" s="111">
        <v>4</v>
      </c>
      <c r="AE366" s="111">
        <v>4</v>
      </c>
      <c r="AF366" s="111">
        <v>4</v>
      </c>
      <c r="AG366" s="111">
        <v>4</v>
      </c>
      <c r="AH366" s="111">
        <v>4</v>
      </c>
      <c r="AI366" s="111">
        <v>6</v>
      </c>
      <c r="AJ366" s="111">
        <v>4</v>
      </c>
      <c r="AK366" s="111">
        <v>6</v>
      </c>
      <c r="AL366" s="111">
        <v>6</v>
      </c>
      <c r="AM366" s="111">
        <v>6</v>
      </c>
      <c r="AN366" s="111">
        <v>3</v>
      </c>
      <c r="AO366" s="111">
        <v>6</v>
      </c>
      <c r="AP366" s="111">
        <v>6</v>
      </c>
      <c r="AQ366" s="111">
        <v>5</v>
      </c>
      <c r="AR366" s="111">
        <v>6</v>
      </c>
      <c r="AS366" s="111">
        <v>4</v>
      </c>
      <c r="AT366" s="111">
        <v>4</v>
      </c>
      <c r="AU366" s="111">
        <v>6</v>
      </c>
      <c r="AV366" s="50" t="s">
        <v>201</v>
      </c>
      <c r="AW366" s="50" t="s">
        <v>202</v>
      </c>
      <c r="AX366" s="50" t="s">
        <v>202</v>
      </c>
      <c r="AY366" s="50" t="s">
        <v>201</v>
      </c>
      <c r="AZ366" s="50" t="s">
        <v>202</v>
      </c>
      <c r="BA366" s="50" t="s">
        <v>201</v>
      </c>
      <c r="BB366" s="50" t="s">
        <v>201</v>
      </c>
      <c r="BC366" s="50" t="s">
        <v>202</v>
      </c>
      <c r="BD366" s="50" t="s">
        <v>201</v>
      </c>
      <c r="BE366" s="50" t="s">
        <v>202</v>
      </c>
      <c r="BF366" s="50" t="s">
        <v>202</v>
      </c>
      <c r="BG366" s="50" t="s">
        <v>202</v>
      </c>
      <c r="BH366" s="50" t="s">
        <v>202</v>
      </c>
      <c r="BI366" s="50" t="s">
        <v>202</v>
      </c>
      <c r="BJ366" s="50" t="s">
        <v>202</v>
      </c>
      <c r="BK366" s="50" t="s">
        <v>202</v>
      </c>
      <c r="BL366" s="50" t="s">
        <v>202</v>
      </c>
      <c r="BM366" s="50" t="s">
        <v>436</v>
      </c>
      <c r="BN366" s="50" t="s">
        <v>358</v>
      </c>
      <c r="BO366" s="50" t="s">
        <v>91</v>
      </c>
      <c r="BP366" s="50" t="s">
        <v>286</v>
      </c>
      <c r="BQ366" s="50" t="s">
        <v>287</v>
      </c>
      <c r="BR366" s="50" t="s">
        <v>582</v>
      </c>
      <c r="BS366" s="111">
        <v>4</v>
      </c>
      <c r="BT366" s="50" t="s">
        <v>286</v>
      </c>
      <c r="BU366" s="50" t="s">
        <v>312</v>
      </c>
      <c r="BV366" s="50" t="s">
        <v>288</v>
      </c>
      <c r="BW366" s="50" t="s">
        <v>350</v>
      </c>
      <c r="BX366" s="50" t="s">
        <v>296</v>
      </c>
      <c r="BY366" s="50" t="s">
        <v>288</v>
      </c>
      <c r="BZ366" s="50" t="s">
        <v>287</v>
      </c>
      <c r="CA366" s="50"/>
      <c r="CB366" s="50" t="s">
        <v>287</v>
      </c>
      <c r="CC366" s="50" t="s">
        <v>287</v>
      </c>
      <c r="CD366" s="50" t="s">
        <v>287</v>
      </c>
      <c r="CE366" s="50"/>
      <c r="CF366" s="50" t="s">
        <v>287</v>
      </c>
      <c r="CG366" s="50" t="s">
        <v>287</v>
      </c>
      <c r="CH366" s="50" t="s">
        <v>488</v>
      </c>
      <c r="CI366" s="50" t="s">
        <v>287</v>
      </c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</row>
    <row r="367" spans="1:97" ht="15" thickBot="1">
      <c r="A367" s="49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111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</row>
    <row r="368" spans="1:97" ht="15" thickBot="1">
      <c r="A368" s="49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111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</row>
    <row r="369" spans="1:97" ht="15" thickBot="1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111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</row>
    <row r="370" spans="1:97" ht="15" thickBot="1">
      <c r="A370" s="49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111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</row>
    <row r="371" spans="1:97" ht="15" thickBot="1">
      <c r="A371" s="49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111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</row>
    <row r="372" spans="1:97" ht="15" thickBot="1">
      <c r="A372" s="49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111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</row>
    <row r="373" spans="1:97" ht="15" thickBot="1">
      <c r="A373" s="49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111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</row>
    <row r="374" spans="1:97" ht="15" thickBot="1">
      <c r="A374" s="49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111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</row>
    <row r="375" spans="1:97" ht="15" thickBot="1">
      <c r="A375" s="49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111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</row>
    <row r="376" spans="1:97" ht="15" thickBot="1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111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</row>
    <row r="377" spans="1:97" ht="15" thickBot="1">
      <c r="A377" s="49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111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</row>
    <row r="378" spans="1:97" ht="15" thickBot="1">
      <c r="A378" s="49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111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</row>
    <row r="379" spans="1:97" ht="15" thickBot="1">
      <c r="A379" s="49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111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</row>
    <row r="380" spans="1:97" ht="15" thickBot="1">
      <c r="A380" s="49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111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</row>
    <row r="381" spans="1:97" ht="15" thickBot="1">
      <c r="A381" s="49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111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</row>
    <row r="382" spans="1:97" ht="15" thickBot="1">
      <c r="A382" s="49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111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</row>
    <row r="383" spans="1:97" ht="15" thickBot="1">
      <c r="A383" s="49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111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</row>
    <row r="384" spans="1:97" ht="15" thickBot="1">
      <c r="A384" s="49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111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</row>
    <row r="385" spans="1:97" ht="15" thickBot="1">
      <c r="A385" s="49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111"/>
      <c r="AJ385" s="111"/>
      <c r="AK385" s="111"/>
      <c r="AL385" s="111"/>
      <c r="AM385" s="111"/>
      <c r="AN385" s="111"/>
      <c r="AO385" s="111"/>
      <c r="AP385" s="111"/>
      <c r="AQ385" s="111"/>
      <c r="AR385" s="111"/>
      <c r="AS385" s="111"/>
      <c r="AT385" s="111"/>
      <c r="AU385" s="111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111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</row>
    <row r="386" spans="1:97" ht="15" thickBot="1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111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</row>
    <row r="387" spans="1:97" ht="15" thickBot="1">
      <c r="A387" s="49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111"/>
      <c r="AJ387" s="111"/>
      <c r="AK387" s="111"/>
      <c r="AL387" s="111"/>
      <c r="AM387" s="111"/>
      <c r="AN387" s="111"/>
      <c r="AO387" s="111"/>
      <c r="AP387" s="111"/>
      <c r="AQ387" s="111"/>
      <c r="AR387" s="111"/>
      <c r="AS387" s="111"/>
      <c r="AT387" s="111"/>
      <c r="AU387" s="111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111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</row>
    <row r="388" spans="1:97" ht="15" thickBot="1">
      <c r="A388" s="49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111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</row>
    <row r="389" spans="1:97" ht="15" thickBot="1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111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</row>
    <row r="390" spans="1:97" ht="15" thickBot="1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111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</row>
    <row r="391" spans="1:97" ht="15" thickBot="1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111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</row>
    <row r="392" spans="1:97" ht="15" thickBot="1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111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</row>
    <row r="393" spans="1:97" ht="15" thickBot="1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111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</row>
    <row r="394" spans="1:97" ht="15" thickBot="1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111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</row>
    <row r="395" spans="1:97" ht="15" thickBot="1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111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</row>
    <row r="396" spans="1:97" ht="15" thickBot="1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111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</row>
    <row r="397" spans="1:97" ht="15" thickBot="1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111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</row>
    <row r="398" spans="1:97" ht="15" thickBot="1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111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</row>
    <row r="399" spans="1:97" ht="15" thickBot="1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111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</row>
    <row r="400" spans="1:97" ht="15" thickBot="1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111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</row>
    <row r="401" spans="1:97" ht="15" thickBot="1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111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</row>
    <row r="402" spans="1:97" ht="15" thickBot="1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111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</row>
    <row r="403" spans="1:97" ht="15" thickBot="1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111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</row>
    <row r="404" spans="1:97" ht="15" thickBot="1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111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</row>
    <row r="405" spans="1:97" ht="15" thickBot="1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111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</row>
    <row r="406" spans="1:97" ht="15" thickBot="1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111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</row>
    <row r="407" spans="1:97" ht="15" thickBot="1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111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</row>
    <row r="408" spans="1:97" ht="15" thickBot="1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111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</row>
    <row r="409" spans="1:97" ht="15" thickBot="1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111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</row>
    <row r="410" spans="1:97" ht="15" thickBot="1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111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</row>
    <row r="411" spans="1:97" ht="15" thickBot="1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111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</row>
    <row r="412" spans="1:97" ht="15" thickBot="1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111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</row>
    <row r="413" spans="1:97" ht="15" thickBot="1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111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</row>
    <row r="414" spans="1:97" ht="15" thickBot="1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111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</row>
    <row r="415" spans="1:97" ht="15" thickBot="1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111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</row>
    <row r="416" spans="1:97" ht="15" thickBot="1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111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</row>
    <row r="417" spans="1:97" ht="15" thickBot="1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111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</row>
    <row r="418" spans="1:97" ht="15" thickBot="1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111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</row>
    <row r="419" spans="1:97" ht="15" thickBot="1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111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</row>
    <row r="420" spans="1:97" ht="15" thickBot="1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111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</row>
    <row r="421" spans="1:97" ht="15" thickBot="1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111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</row>
    <row r="422" spans="1:97" ht="15" thickBot="1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111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</row>
    <row r="423" spans="1:97" ht="15" thickBot="1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111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</row>
    <row r="424" spans="1:97" ht="15" thickBot="1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111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</row>
    <row r="425" spans="1:97" ht="15" thickBot="1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111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</row>
    <row r="426" spans="1:97" ht="15" thickBot="1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111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</row>
    <row r="427" spans="1:97" ht="15" thickBot="1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111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</row>
    <row r="428" spans="1:97" ht="15" thickBot="1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111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</row>
    <row r="429" spans="1:97" ht="15" thickBot="1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111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</row>
    <row r="430" spans="1:97" ht="15" thickBot="1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111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</row>
    <row r="431" spans="1:97" ht="15" thickBot="1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111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</row>
    <row r="432" spans="1:97" ht="15" thickBot="1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111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</row>
    <row r="433" spans="1:97" ht="15" thickBot="1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111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</row>
    <row r="434" spans="1:97" ht="15" thickBot="1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111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</row>
    <row r="435" spans="1:97" ht="15" thickBot="1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111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</row>
    <row r="436" spans="1:97" ht="15" thickBot="1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111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</row>
    <row r="437" spans="1:97" ht="15" thickBot="1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111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</row>
    <row r="438" spans="1:97" ht="15" thickBot="1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111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</row>
    <row r="439" spans="1:97" ht="15" thickBot="1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111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</row>
    <row r="440" spans="1:97" ht="15" thickBot="1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111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</row>
    <row r="441" spans="1:97" ht="15" thickBot="1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111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</row>
    <row r="442" spans="1:97" ht="15" thickBot="1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111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</row>
    <row r="443" spans="1:97" ht="15" thickBot="1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111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</row>
    <row r="444" spans="1:97" ht="15" thickBot="1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111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</row>
    <row r="445" spans="1:97" ht="15" thickBot="1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111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</row>
    <row r="446" spans="1:97" ht="15" thickBot="1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111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</row>
    <row r="447" spans="1:97" ht="15" thickBot="1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111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</row>
    <row r="448" spans="1:97" ht="15" thickBot="1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111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</row>
    <row r="449" spans="1:97" ht="15" thickBot="1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111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</row>
    <row r="450" spans="1:97" ht="15" thickBot="1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111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</row>
    <row r="451" spans="1:97" ht="15" thickBot="1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111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</row>
    <row r="452" spans="1:97" ht="15" thickBot="1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111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</row>
    <row r="453" spans="1:97" ht="15" thickBot="1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111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</row>
    <row r="454" spans="1:97" ht="15" thickBot="1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111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</row>
    <row r="455" spans="1:97" ht="15" thickBot="1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111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</row>
    <row r="456" spans="1:97" ht="15" thickBot="1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111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</row>
    <row r="457" spans="1:97" ht="15" thickBot="1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111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</row>
    <row r="458" spans="1:97" ht="15" thickBot="1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111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</row>
    <row r="459" spans="1:97" ht="15" thickBot="1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111"/>
      <c r="AQ459" s="111"/>
      <c r="AR459" s="111"/>
      <c r="AS459" s="111"/>
      <c r="AT459" s="111"/>
      <c r="AU459" s="111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111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</row>
    <row r="460" spans="1:97" ht="15" thickBot="1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111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</row>
    <row r="461" spans="1:97" ht="15" thickBot="1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111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</row>
    <row r="462" spans="1:97" ht="15" thickBot="1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111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</row>
    <row r="463" spans="1:97" ht="15" thickBot="1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111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</row>
    <row r="464" spans="1:97" ht="15" thickBot="1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111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</row>
    <row r="465" spans="1:97" ht="15" thickBot="1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111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</row>
    <row r="466" spans="1:97" ht="15" thickBot="1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111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</row>
    <row r="467" spans="1:97" ht="15" thickBot="1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111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</row>
    <row r="468" spans="1:97" ht="15" thickBot="1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111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</row>
    <row r="469" spans="1:97" ht="15" thickBot="1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111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</row>
    <row r="470" spans="1:97" ht="15" thickBot="1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111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</row>
    <row r="471" spans="1:97" ht="15" thickBot="1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111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</row>
    <row r="472" spans="1:97" ht="15" thickBot="1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111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</row>
    <row r="473" spans="1:97" ht="15" thickBot="1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111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</row>
    <row r="474" spans="1:97" ht="15" thickBot="1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111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</row>
    <row r="475" spans="1:97" ht="15" thickBot="1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111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</row>
    <row r="476" spans="1:97" ht="15" thickBot="1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111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</row>
    <row r="477" spans="1:97" ht="15" thickBot="1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111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</row>
    <row r="478" spans="1:97" ht="15" thickBot="1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111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</row>
    <row r="479" spans="1:97" ht="15" thickBot="1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111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</row>
    <row r="480" spans="1:97" ht="15" thickBot="1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111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</row>
    <row r="481" spans="1:97" ht="15" thickBot="1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111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</row>
    <row r="482" spans="1:97" ht="15" thickBot="1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111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</row>
    <row r="483" spans="1:97" ht="15" thickBot="1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111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</row>
    <row r="484" spans="1:97" ht="15" thickBot="1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111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</row>
    <row r="485" spans="1:97" ht="15" thickBot="1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111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</row>
    <row r="486" spans="1:97" ht="15" thickBot="1">
      <c r="A486" s="49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111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</row>
    <row r="487" spans="1:97" ht="15" thickBot="1">
      <c r="A487" s="49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111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</row>
    <row r="488" spans="1:97" ht="15" thickBot="1">
      <c r="A488" s="49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111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</row>
    <row r="489" spans="1:97" ht="15" thickBot="1">
      <c r="A489" s="49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111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</row>
    <row r="490" spans="1:97" ht="15" thickBot="1">
      <c r="A490" s="49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111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</row>
    <row r="491" spans="1:97" ht="15" thickBot="1">
      <c r="A491" s="49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111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</row>
    <row r="492" spans="1:97" ht="15" thickBot="1">
      <c r="A492" s="49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111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</row>
    <row r="493" spans="1:97" ht="15" thickBot="1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111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</row>
    <row r="494" spans="1:97" ht="15" thickBot="1">
      <c r="A494" s="49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111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</row>
    <row r="495" spans="1:97" ht="15" thickBot="1">
      <c r="A495" s="49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111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</row>
    <row r="496" spans="1:97" ht="15" thickBot="1">
      <c r="A496" s="49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111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</row>
    <row r="497" spans="1:97" ht="15" thickBot="1">
      <c r="A497" s="49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111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</row>
    <row r="498" spans="1:97" ht="15" thickBot="1">
      <c r="A498" s="49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111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</row>
    <row r="499" spans="1:97" ht="15" thickBot="1">
      <c r="A499" s="49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111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</row>
    <row r="500" spans="1:97" ht="15" thickBot="1">
      <c r="A500" s="49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111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</row>
    <row r="501" spans="1:97" ht="15" thickBot="1">
      <c r="A501" s="49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111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</row>
    <row r="502" spans="1:97" ht="15" thickBot="1">
      <c r="A502" s="49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111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</row>
    <row r="503" spans="1:97" ht="15" thickBot="1">
      <c r="A503" s="49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111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</row>
    <row r="504" spans="1:97" ht="15" thickBot="1">
      <c r="A504" s="49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111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</row>
    <row r="505" spans="1:97" ht="15" thickBot="1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111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</row>
    <row r="506" spans="1:97" ht="15" thickBot="1">
      <c r="A506" s="49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111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</row>
    <row r="507" spans="1:97" ht="15" thickBot="1">
      <c r="A507" s="49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111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</row>
    <row r="508" spans="1:97" ht="15" thickBot="1">
      <c r="A508" s="49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111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</row>
    <row r="509" spans="1:97" ht="15" thickBot="1">
      <c r="A509" s="49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111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</row>
    <row r="510" spans="1:97" ht="15" thickBot="1">
      <c r="A510" s="49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111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</row>
    <row r="511" spans="1:97" ht="15" thickBot="1">
      <c r="A511" s="49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111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</row>
    <row r="512" spans="1:97" ht="15" thickBot="1">
      <c r="A512" s="49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111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</row>
    <row r="513" spans="1:97" ht="15" thickBot="1">
      <c r="A513" s="49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111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</row>
    <row r="514" spans="1:97" ht="15" thickBot="1">
      <c r="A514" s="49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111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</row>
    <row r="515" spans="1:97" ht="15" thickBot="1">
      <c r="A515" s="49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111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</row>
    <row r="516" spans="1:97" ht="15" thickBot="1">
      <c r="A516" s="49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111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</row>
    <row r="517" spans="1:97" ht="15" thickBot="1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111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</row>
    <row r="518" spans="1:97" ht="15" thickBot="1">
      <c r="A518" s="49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111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</row>
    <row r="519" spans="1:97" ht="15" thickBot="1">
      <c r="A519" s="49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111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</row>
    <row r="520" spans="1:97" ht="15" thickBot="1">
      <c r="A520" s="49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111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</row>
    <row r="521" spans="1:97" ht="15" thickBot="1">
      <c r="A521" s="49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111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</row>
    <row r="522" spans="1:97" ht="15" thickBot="1">
      <c r="A522" s="49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111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</row>
    <row r="523" spans="1:97" ht="15" thickBot="1">
      <c r="A523" s="49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111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</row>
    <row r="524" spans="1:97" ht="15" thickBot="1">
      <c r="A524" s="49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111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</row>
    <row r="525" spans="1:97" ht="15" thickBot="1">
      <c r="A525" s="49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111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</row>
    <row r="526" spans="1:97" ht="15" thickBot="1">
      <c r="A526" s="49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111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</row>
    <row r="527" spans="1:97" ht="15" thickBot="1">
      <c r="A527" s="49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111"/>
      <c r="AQ527" s="111"/>
      <c r="AR527" s="111"/>
      <c r="AS527" s="111"/>
      <c r="AT527" s="111"/>
      <c r="AU527" s="111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111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</row>
    <row r="528" spans="1:97" ht="15" thickBot="1">
      <c r="A528" s="49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111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</row>
    <row r="529" spans="1:97" ht="15" thickBot="1">
      <c r="A529" s="49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111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</row>
    <row r="530" spans="1:97" ht="15" thickBot="1">
      <c r="A530" s="49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111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</row>
    <row r="531" spans="1:97" ht="15" thickBot="1">
      <c r="A531" s="49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111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</row>
    <row r="532" spans="1:97" ht="15" thickBot="1">
      <c r="A532" s="49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111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</row>
    <row r="533" spans="1:97" ht="15" thickBot="1">
      <c r="A533" s="49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111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</row>
    <row r="534" spans="1:97" ht="15" thickBot="1">
      <c r="A534" s="49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111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</row>
    <row r="535" spans="1:97" ht="15" thickBot="1">
      <c r="A535" s="49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111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</row>
    <row r="536" spans="1:97" ht="15" thickBot="1">
      <c r="A536" s="49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111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</row>
    <row r="537" spans="1:97" ht="15" thickBot="1">
      <c r="A537" s="49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111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</row>
    <row r="538" spans="1:97" ht="15" thickBot="1">
      <c r="A538" s="49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111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</row>
    <row r="539" spans="1:97" ht="15" thickBot="1">
      <c r="A539" s="49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111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</row>
    <row r="540" spans="1:97" ht="15" thickBot="1">
      <c r="A540" s="49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111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</row>
    <row r="541" spans="1:97" ht="15" thickBot="1">
      <c r="A541" s="49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111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</row>
    <row r="542" spans="1:97" ht="15" thickBot="1">
      <c r="A542" s="49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111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</row>
    <row r="543" spans="1:97" ht="15" thickBot="1">
      <c r="A543" s="49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111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</row>
    <row r="544" spans="1:97" ht="15" thickBot="1">
      <c r="A544" s="49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111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</row>
    <row r="545" spans="1:97" ht="15" thickBot="1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111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</row>
    <row r="546" spans="1:97" ht="15" thickBot="1">
      <c r="A546" s="49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111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</row>
    <row r="547" spans="1:97" ht="15" thickBot="1">
      <c r="A547" s="49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111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</row>
    <row r="548" spans="1:97" ht="15" thickBot="1">
      <c r="A548" s="49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111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</row>
    <row r="549" spans="1:97" ht="15" thickBot="1">
      <c r="A549" s="49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111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</row>
    <row r="550" spans="1:97" ht="15" thickBot="1">
      <c r="A550" s="49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111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</row>
    <row r="551" spans="1:97" ht="15" thickBot="1">
      <c r="A551" s="49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111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</row>
    <row r="552" spans="1:97" ht="15" thickBot="1">
      <c r="A552" s="49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111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</row>
    <row r="553" spans="1:97" ht="15" thickBot="1">
      <c r="A553" s="49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111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</row>
    <row r="554" spans="1:97" ht="15" thickBot="1">
      <c r="A554" s="49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111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</row>
    <row r="555" spans="1:97" ht="15" thickBot="1">
      <c r="A555" s="49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111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</row>
    <row r="556" spans="1:97" ht="15" thickBot="1">
      <c r="A556" s="49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111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</row>
    <row r="557" spans="1:97" ht="15" thickBot="1">
      <c r="A557" s="49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111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</row>
    <row r="558" spans="1:97" ht="15" thickBot="1">
      <c r="A558" s="49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111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</row>
    <row r="559" spans="1:97" ht="15" thickBot="1">
      <c r="A559" s="49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111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</row>
    <row r="560" spans="1:97" ht="15" thickBot="1">
      <c r="A560" s="49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111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</row>
    <row r="561" spans="1:97" ht="15" thickBot="1">
      <c r="A561" s="49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111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</row>
    <row r="562" spans="1:97" ht="15" thickBot="1">
      <c r="A562" s="49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111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</row>
    <row r="563" spans="1:97" ht="15" thickBot="1">
      <c r="A563" s="49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111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</row>
    <row r="564" spans="1:97" ht="15" thickBot="1">
      <c r="A564" s="49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111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</row>
    <row r="565" spans="1:97" ht="15" thickBot="1">
      <c r="A565" s="49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111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</row>
    <row r="566" spans="1:97" ht="15" thickBot="1">
      <c r="A566" s="49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111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</row>
    <row r="567" spans="1:97" ht="15" thickBot="1">
      <c r="A567" s="49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111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</row>
    <row r="568" spans="1:97" ht="15" thickBot="1">
      <c r="A568" s="49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111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</row>
    <row r="569" spans="1:97" ht="15" thickBot="1">
      <c r="A569" s="49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111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</row>
    <row r="570" spans="1:97" ht="15" thickBot="1">
      <c r="A570" s="49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111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</row>
    <row r="571" spans="1:97" ht="15" thickBot="1">
      <c r="A571" s="49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111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</row>
    <row r="572" spans="1:97" ht="15" thickBot="1">
      <c r="A572" s="49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111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</row>
    <row r="573" spans="1:97" ht="15" thickBot="1">
      <c r="A573" s="49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111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</row>
    <row r="574" spans="1:97" ht="15" thickBot="1">
      <c r="A574" s="49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111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</row>
    <row r="575" spans="1:97" ht="15" thickBot="1">
      <c r="A575" s="49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111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</row>
    <row r="576" spans="1:97" ht="15" thickBot="1">
      <c r="A576" s="49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111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</row>
    <row r="577" spans="1:97" ht="15" thickBot="1">
      <c r="A577" s="49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111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</row>
    <row r="578" spans="1:97" ht="15" thickBot="1">
      <c r="A578" s="49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111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</row>
    <row r="579" spans="1:97" ht="15" thickBot="1">
      <c r="A579" s="49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111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</row>
    <row r="580" spans="1:97" ht="15" thickBot="1">
      <c r="A580" s="49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111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</row>
    <row r="581" spans="1:97" ht="15" thickBot="1">
      <c r="A581" s="49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111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</row>
    <row r="582" spans="1:97" ht="15" thickBot="1">
      <c r="A582" s="49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111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</row>
    <row r="583" spans="1:97" ht="15" thickBot="1">
      <c r="A583" s="49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111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</row>
    <row r="584" spans="1:97" ht="15" thickBot="1">
      <c r="A584" s="49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111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</row>
    <row r="585" spans="1:97" ht="15" thickBot="1">
      <c r="A585" s="49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111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</row>
    <row r="586" spans="1:97" ht="15" thickBot="1">
      <c r="A586" s="49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111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</row>
    <row r="587" spans="1:97" ht="15" thickBot="1">
      <c r="A587" s="49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111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</row>
    <row r="588" spans="1:97" ht="15" thickBot="1">
      <c r="A588" s="49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111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</row>
    <row r="589" spans="1:97" ht="15" thickBot="1">
      <c r="A589" s="49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111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</row>
    <row r="590" spans="1:97" ht="15" thickBot="1">
      <c r="A590" s="49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111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</row>
    <row r="591" spans="1:97" ht="15" thickBot="1">
      <c r="A591" s="49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111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</row>
    <row r="592" spans="1:97" ht="15" thickBot="1">
      <c r="A592" s="49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111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</row>
    <row r="593" spans="1:97" ht="15" thickBot="1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111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</row>
    <row r="594" spans="1:97" ht="15" thickBot="1">
      <c r="A594" s="49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111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</row>
    <row r="595" spans="1:97" ht="15" thickBot="1">
      <c r="A595" s="49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111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</row>
    <row r="596" spans="1:97" ht="15" thickBot="1">
      <c r="A596" s="49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111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</row>
    <row r="597" spans="1:97" ht="15" thickBot="1">
      <c r="A597" s="49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111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</row>
    <row r="598" spans="1:97" ht="15" thickBot="1">
      <c r="A598" s="49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111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</row>
    <row r="599" spans="1:97" ht="15" thickBot="1">
      <c r="A599" s="49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111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</row>
    <row r="600" spans="1:97" ht="15" thickBot="1">
      <c r="A600" s="49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111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</row>
    <row r="601" spans="1:97" ht="15" thickBot="1">
      <c r="A601" s="49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111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</row>
    <row r="602" spans="1:97" ht="15" thickBot="1">
      <c r="A602" s="49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111"/>
      <c r="BO602" s="50"/>
      <c r="BP602" s="50"/>
      <c r="BQ602" s="50"/>
      <c r="BR602" s="50"/>
      <c r="BS602" s="111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</row>
    <row r="603" spans="1:97" ht="15" thickBot="1">
      <c r="A603" s="49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111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</row>
    <row r="604" spans="1:97" ht="15" thickBot="1">
      <c r="A604" s="49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111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</row>
    <row r="605" spans="1:97" ht="15" thickBot="1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111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</row>
    <row r="606" spans="1:97" ht="15" thickBot="1">
      <c r="A606" s="49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111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</row>
    <row r="607" spans="1:97" ht="15" thickBot="1">
      <c r="A607" s="49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111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</row>
    <row r="608" spans="1:97" ht="15" thickBot="1">
      <c r="A608" s="49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111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</row>
    <row r="609" spans="1:97" ht="15" thickBot="1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111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</row>
    <row r="610" spans="1:97" ht="15" thickBot="1">
      <c r="A610" s="49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111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</row>
    <row r="611" spans="1:97" ht="15" thickBot="1">
      <c r="A611" s="49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111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</row>
    <row r="612" spans="1:97" ht="15" thickBot="1">
      <c r="A612" s="49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111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</row>
    <row r="613" spans="1:97" ht="15" thickBot="1">
      <c r="A613" s="49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111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</row>
    <row r="614" spans="1:97" ht="15" thickBot="1">
      <c r="A614" s="49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111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</row>
    <row r="615" spans="1:97" ht="15" thickBot="1">
      <c r="A615" s="49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111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</row>
    <row r="616" spans="1:97" ht="15" thickBot="1">
      <c r="A616" s="49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111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</row>
    <row r="617" spans="1:97" ht="15" thickBot="1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111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</row>
    <row r="618" spans="1:97" ht="15" thickBot="1">
      <c r="A618" s="49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111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</row>
    <row r="619" spans="1:97" ht="15" thickBot="1">
      <c r="A619" s="49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111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</row>
    <row r="620" spans="1:97" ht="15" thickBot="1">
      <c r="A620" s="49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111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</row>
    <row r="621" spans="1:97" ht="15" thickBot="1">
      <c r="A621" s="49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111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</row>
    <row r="622" spans="1:97" ht="15" thickBot="1">
      <c r="A622" s="49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111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</row>
    <row r="623" spans="1:97" ht="15" thickBot="1">
      <c r="A623" s="49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111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</row>
    <row r="624" spans="1:97" ht="15" thickBot="1">
      <c r="A624" s="49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111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</row>
    <row r="625" spans="1:97" ht="15" thickBot="1">
      <c r="A625" s="49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111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</row>
    <row r="626" spans="1:97" ht="15" thickBot="1">
      <c r="A626" s="49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111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</row>
    <row r="627" spans="1:97" ht="15" thickBot="1">
      <c r="A627" s="49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111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</row>
    <row r="628" spans="1:97" ht="15" thickBot="1">
      <c r="A628" s="49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111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</row>
    <row r="629" spans="1:97" ht="15" thickBot="1">
      <c r="A629" s="49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111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</row>
    <row r="630" spans="1:97" ht="15" thickBot="1">
      <c r="A630" s="49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111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</row>
    <row r="631" spans="1:97" ht="15" thickBot="1">
      <c r="A631" s="49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111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</row>
    <row r="632" spans="1:97" ht="15" thickBot="1">
      <c r="A632" s="49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111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</row>
    <row r="633" spans="1:97" ht="15" thickBot="1">
      <c r="A633" s="49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111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</row>
    <row r="634" spans="1:97" ht="15" thickBot="1">
      <c r="A634" s="49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111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</row>
    <row r="635" spans="1:97" ht="15" thickBot="1">
      <c r="A635" s="49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111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</row>
    <row r="636" spans="1:97" ht="15" thickBot="1">
      <c r="A636" s="49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111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</row>
    <row r="637" spans="1:97" ht="15" thickBot="1">
      <c r="A637" s="49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111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</row>
    <row r="638" spans="1:97" ht="15" thickBot="1">
      <c r="A638" s="49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111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</row>
    <row r="639" spans="1:97" ht="15" thickBot="1">
      <c r="A639" s="49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111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</row>
    <row r="640" spans="1:97" ht="15" thickBot="1">
      <c r="A640" s="49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111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</row>
    <row r="641" spans="1:97" ht="15" thickBot="1">
      <c r="A641" s="49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111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</row>
    <row r="642" spans="1:97" ht="15" thickBot="1">
      <c r="A642" s="49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111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</row>
    <row r="643" spans="1:97" ht="15" thickBot="1">
      <c r="A643" s="49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111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</row>
    <row r="644" spans="1:97" ht="15" thickBot="1">
      <c r="A644" s="49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111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</row>
    <row r="645" spans="1:97" ht="15" thickBot="1">
      <c r="A645" s="49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111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</row>
    <row r="646" spans="1:97" ht="15" thickBot="1">
      <c r="A646" s="49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111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</row>
    <row r="647" spans="1:97" ht="15" thickBot="1">
      <c r="A647" s="49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111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</row>
    <row r="648" spans="1:97" ht="15" thickBot="1">
      <c r="A648" s="49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111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</row>
    <row r="649" spans="1:97" ht="15" thickBot="1">
      <c r="A649" s="49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111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</row>
    <row r="650" spans="1:97" ht="15" thickBot="1">
      <c r="A650" s="49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111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</row>
    <row r="651" spans="1:97" ht="15" thickBot="1">
      <c r="A651" s="49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111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</row>
    <row r="652" spans="1:97" ht="15" thickBot="1">
      <c r="A652" s="49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111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</row>
    <row r="653" spans="1:97" ht="15" thickBot="1">
      <c r="A653" s="49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111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</row>
    <row r="654" spans="1:97" ht="15" thickBot="1">
      <c r="A654" s="49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111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</row>
    <row r="655" spans="1:97" ht="15" thickBot="1">
      <c r="A655" s="49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111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</row>
    <row r="656" spans="1:97" ht="15" thickBot="1">
      <c r="A656" s="49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111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</row>
    <row r="657" spans="1:97" ht="15" thickBot="1">
      <c r="A657" s="49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111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</row>
    <row r="658" spans="1:97" ht="15" thickBot="1">
      <c r="A658" s="49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111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</row>
    <row r="659" spans="1:97" ht="15" thickBot="1">
      <c r="A659" s="49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111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</row>
    <row r="660" spans="1:97" ht="15" thickBot="1">
      <c r="A660" s="49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111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</row>
    <row r="661" spans="1:97" ht="15" thickBot="1">
      <c r="A661" s="49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111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</row>
    <row r="662" spans="1:97" ht="15" thickBot="1">
      <c r="A662" s="49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111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</row>
    <row r="663" spans="1:97" ht="15" thickBot="1">
      <c r="A663" s="49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111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</row>
    <row r="664" spans="1:97" ht="15" thickBot="1">
      <c r="A664" s="49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111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</row>
    <row r="665" spans="1:97" ht="15" thickBot="1">
      <c r="A665" s="49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111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</row>
    <row r="666" spans="1:97" ht="15" thickBot="1">
      <c r="A666" s="49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111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</row>
    <row r="667" spans="1:97" ht="15" thickBot="1">
      <c r="A667" s="49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111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</row>
    <row r="668" spans="1:97" ht="15" thickBot="1">
      <c r="A668" s="49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111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</row>
    <row r="669" spans="1:97" ht="15" thickBot="1">
      <c r="A669" s="49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111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</row>
    <row r="670" spans="1:97" ht="15" thickBot="1">
      <c r="A670" s="49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111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</row>
    <row r="671" spans="1:97" ht="15" thickBot="1">
      <c r="A671" s="49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111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</row>
    <row r="672" spans="1:97" ht="15" thickBot="1">
      <c r="A672" s="49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111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</row>
    <row r="673" spans="1:97" ht="15" thickBot="1">
      <c r="A673" s="49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111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</row>
    <row r="674" spans="1:97" ht="15" thickBot="1">
      <c r="A674" s="49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111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</row>
    <row r="675" spans="1:97" ht="15" thickBot="1">
      <c r="A675" s="49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111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</row>
    <row r="676" spans="1:97" ht="15" thickBot="1">
      <c r="A676" s="49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111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</row>
    <row r="677" spans="1:97" ht="15" thickBot="1">
      <c r="A677" s="49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111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</row>
    <row r="678" spans="1:97" ht="15" thickBot="1">
      <c r="A678" s="49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111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</row>
    <row r="679" spans="1:97" ht="15" thickBot="1">
      <c r="A679" s="49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111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</row>
    <row r="680" spans="1:97" ht="15" thickBot="1">
      <c r="A680" s="49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111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</row>
    <row r="681" spans="1:97" ht="15" thickBot="1">
      <c r="A681" s="49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111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</row>
    <row r="682" spans="1:97" ht="15" thickBot="1">
      <c r="A682" s="49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111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</row>
    <row r="683" spans="1:97" ht="15" thickBot="1">
      <c r="A683" s="49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111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</row>
    <row r="684" spans="1:97" ht="15" thickBot="1">
      <c r="A684" s="49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111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</row>
    <row r="685" spans="1:97" ht="15" thickBot="1">
      <c r="A685" s="49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111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</row>
    <row r="686" spans="1:97" ht="15" thickBot="1">
      <c r="A686" s="49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111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</row>
    <row r="687" spans="1:97" ht="15" thickBot="1">
      <c r="A687" s="49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111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</row>
    <row r="688" spans="1:97" ht="15" thickBot="1">
      <c r="A688" s="49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111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</row>
    <row r="689" spans="1:97" ht="15" thickBot="1">
      <c r="A689" s="49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111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</row>
    <row r="690" spans="1:97" ht="15" thickBot="1">
      <c r="A690" s="49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111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</row>
    <row r="691" spans="1:97" ht="15" thickBot="1">
      <c r="A691" s="49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111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</row>
    <row r="692" spans="1:97" ht="15" thickBot="1">
      <c r="A692" s="49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111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</row>
    <row r="693" spans="1:97" ht="15" thickBot="1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111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</row>
    <row r="694" spans="1:97" ht="15" thickBot="1">
      <c r="A694" s="49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111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</row>
    <row r="695" spans="1:97" ht="15" thickBot="1">
      <c r="A695" s="49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111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</row>
    <row r="696" spans="1:97" ht="15" thickBot="1">
      <c r="A696" s="49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111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</row>
    <row r="697" spans="1:97" ht="15" thickBot="1">
      <c r="A697" s="49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111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</row>
    <row r="698" spans="1:97" ht="15" thickBot="1">
      <c r="A698" s="49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111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</row>
    <row r="699" spans="1:97" ht="15" thickBot="1">
      <c r="A699" s="49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111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</row>
    <row r="700" spans="1:97" ht="15" thickBot="1">
      <c r="A700" s="49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111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</row>
    <row r="701" spans="1:97" ht="15" thickBot="1">
      <c r="A701" s="49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111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</row>
    <row r="702" spans="1:97" ht="15" thickBot="1">
      <c r="A702" s="49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111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</row>
    <row r="703" spans="1:97" ht="15" thickBot="1">
      <c r="A703" s="49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111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</row>
    <row r="704" spans="1:97" ht="15" thickBot="1">
      <c r="A704" s="49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111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</row>
    <row r="705" spans="1:97" ht="15" thickBot="1">
      <c r="A705" s="49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111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</row>
    <row r="706" spans="1:97" ht="15" thickBot="1">
      <c r="A706" s="49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111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</row>
    <row r="707" spans="1:97" ht="15" thickBot="1">
      <c r="A707" s="49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111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</row>
    <row r="708" spans="1:97" ht="15" thickBot="1">
      <c r="A708" s="49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111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</row>
    <row r="709" spans="1:97" ht="15" thickBot="1">
      <c r="A709" s="49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111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</row>
    <row r="710" spans="1:97" ht="15" thickBot="1">
      <c r="A710" s="49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111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</row>
    <row r="711" spans="1:97" ht="15" thickBot="1">
      <c r="A711" s="49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111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</row>
    <row r="712" spans="1:97" ht="15" thickBot="1">
      <c r="A712" s="49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111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</row>
    <row r="713" spans="1:97" ht="15" thickBot="1">
      <c r="A713" s="49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111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</row>
    <row r="714" spans="1:97" ht="15" thickBot="1">
      <c r="A714" s="49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111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</row>
    <row r="715" spans="1:97" ht="15" thickBot="1">
      <c r="A715" s="49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111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</row>
    <row r="716" spans="1:97" ht="15" thickBot="1">
      <c r="A716" s="49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111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</row>
    <row r="717" spans="1:97" ht="15" thickBot="1">
      <c r="A717" s="49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111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</row>
    <row r="718" spans="1:97" ht="15" thickBot="1">
      <c r="A718" s="49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111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</row>
    <row r="719" spans="1:97" ht="15" thickBot="1">
      <c r="A719" s="49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111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</row>
    <row r="720" spans="1:97" ht="15" thickBot="1">
      <c r="A720" s="49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111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</row>
    <row r="721" spans="1:97" ht="15" thickBot="1">
      <c r="A721" s="49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111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</row>
    <row r="722" spans="1:97" ht="15" thickBot="1">
      <c r="A722" s="49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111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</row>
    <row r="723" spans="1:97" ht="15" thickBot="1">
      <c r="A723" s="49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111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</row>
    <row r="724" spans="1:97" ht="15" thickBot="1">
      <c r="A724" s="49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111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</row>
    <row r="725" spans="1:97" ht="15" thickBot="1">
      <c r="A725" s="49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111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</row>
    <row r="726" spans="1:97" ht="15" thickBot="1">
      <c r="A726" s="49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111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</row>
    <row r="727" spans="1:97" ht="15" thickBot="1">
      <c r="A727" s="49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111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</row>
    <row r="728" spans="1:97" ht="15" thickBot="1">
      <c r="A728" s="49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111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</row>
    <row r="729" spans="1:97" ht="15" thickBot="1">
      <c r="A729" s="49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111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</row>
    <row r="730" spans="1:97" ht="15" thickBot="1">
      <c r="A730" s="49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111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</row>
    <row r="731" spans="1:97" ht="15" thickBot="1">
      <c r="A731" s="49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111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</row>
    <row r="732" spans="1:97" ht="15" thickBot="1">
      <c r="A732" s="49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111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</row>
    <row r="733" spans="1:97" ht="15" thickBot="1">
      <c r="A733" s="49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111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</row>
    <row r="734" spans="1:97" ht="15" thickBot="1">
      <c r="A734" s="49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111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</row>
    <row r="735" spans="1:97" ht="15" thickBot="1">
      <c r="A735" s="49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111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</row>
    <row r="736" spans="1:97" ht="15" thickBot="1">
      <c r="A736" s="49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111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</row>
    <row r="737" spans="1:97" ht="15" thickBot="1">
      <c r="A737" s="49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111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</row>
    <row r="738" spans="1:97" ht="15" thickBot="1">
      <c r="A738" s="49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111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</row>
    <row r="739" spans="1:97" ht="15" thickBot="1">
      <c r="A739" s="49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111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</row>
    <row r="740" spans="1:97" ht="15" thickBot="1">
      <c r="A740" s="49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111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</row>
    <row r="741" spans="1:97" ht="15" thickBot="1">
      <c r="A741" s="49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111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</row>
    <row r="742" spans="1:97" ht="15" thickBot="1">
      <c r="A742" s="49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111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</row>
    <row r="743" spans="1:97" ht="15" thickBot="1">
      <c r="A743" s="49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111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</row>
    <row r="744" spans="1:97" ht="15" thickBot="1">
      <c r="A744" s="49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111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</row>
    <row r="745" spans="1:97" ht="15" thickBot="1">
      <c r="A745" s="49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111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</row>
    <row r="746" spans="1:97" ht="15" thickBot="1">
      <c r="A746" s="49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111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</row>
    <row r="747" spans="1:97" ht="15" thickBot="1">
      <c r="A747" s="49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111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</row>
    <row r="748" spans="1:97" ht="15" thickBot="1">
      <c r="A748" s="49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111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</row>
    <row r="749" spans="1:97" ht="15" thickBot="1">
      <c r="A749" s="49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111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</row>
    <row r="750" spans="1:97" ht="15" thickBot="1">
      <c r="A750" s="49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111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</row>
    <row r="751" spans="1:97" ht="15" thickBot="1">
      <c r="A751" s="49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111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</row>
    <row r="752" spans="1:97" ht="15" thickBot="1">
      <c r="A752" s="49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111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</row>
    <row r="753" spans="1:97" ht="15" thickBot="1">
      <c r="A753" s="49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111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</row>
    <row r="754" spans="1:97" ht="15" thickBot="1">
      <c r="A754" s="49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111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</row>
    <row r="755" spans="1:97" ht="15" thickBot="1">
      <c r="A755" s="49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111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</row>
    <row r="756" spans="1:97" ht="15" thickBot="1">
      <c r="A756" s="49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111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</row>
    <row r="757" spans="1:97" ht="15" thickBot="1">
      <c r="A757" s="49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111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</row>
    <row r="758" spans="1:97" ht="15" thickBot="1">
      <c r="A758" s="49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111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</row>
    <row r="759" spans="1:97" ht="15" thickBot="1">
      <c r="A759" s="49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111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</row>
    <row r="760" spans="1:97" ht="15" thickBot="1">
      <c r="A760" s="49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111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</row>
    <row r="761" spans="1:97" ht="15" thickBot="1">
      <c r="A761" s="49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111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</row>
    <row r="762" spans="1:97" ht="15" thickBot="1">
      <c r="A762" s="49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111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</row>
    <row r="763" spans="1:97" ht="15" thickBot="1">
      <c r="A763" s="49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111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</row>
    <row r="764" spans="1:97" ht="15" thickBot="1">
      <c r="A764" s="49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111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</row>
    <row r="765" spans="1:97" ht="15" thickBot="1">
      <c r="A765" s="49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111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</row>
    <row r="766" spans="1:97" ht="15" thickBot="1">
      <c r="A766" s="49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111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</row>
    <row r="767" spans="1:97" ht="15" thickBot="1">
      <c r="A767" s="49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111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</row>
    <row r="768" spans="1:97" ht="15" thickBot="1">
      <c r="A768" s="49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111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</row>
    <row r="769" spans="1:97" ht="15" thickBot="1">
      <c r="A769" s="49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111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</row>
    <row r="770" spans="1:97" ht="15" thickBot="1">
      <c r="A770" s="49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111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</row>
    <row r="771" spans="1:97" ht="15" thickBot="1">
      <c r="A771" s="49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111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</row>
    <row r="772" spans="1:97" ht="15" thickBot="1">
      <c r="A772" s="49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111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</row>
    <row r="773" spans="1:97" ht="15" thickBot="1">
      <c r="A773" s="49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111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</row>
    <row r="774" spans="1:97" ht="15" thickBot="1">
      <c r="A774" s="49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111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</row>
    <row r="775" spans="1:97" ht="15" thickBot="1">
      <c r="A775" s="49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111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</row>
    <row r="776" spans="1:97" ht="15" thickBot="1">
      <c r="A776" s="49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111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</row>
    <row r="777" spans="1:97" ht="15" thickBot="1">
      <c r="A777" s="49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111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</row>
    <row r="778" spans="1:97" ht="15" thickBot="1">
      <c r="A778" s="49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111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</row>
    <row r="779" spans="1:97" ht="15" thickBot="1">
      <c r="A779" s="49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111"/>
      <c r="AJ779" s="111"/>
      <c r="AK779" s="111"/>
      <c r="AL779" s="111"/>
      <c r="AM779" s="111"/>
      <c r="AN779" s="111"/>
      <c r="AO779" s="111"/>
      <c r="AP779" s="111"/>
      <c r="AQ779" s="111"/>
      <c r="AR779" s="111"/>
      <c r="AS779" s="111"/>
      <c r="AT779" s="111"/>
      <c r="AU779" s="111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111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</row>
    <row r="780" spans="1:97" ht="15" thickBot="1">
      <c r="A780" s="49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111"/>
      <c r="AJ780" s="111"/>
      <c r="AK780" s="111"/>
      <c r="AL780" s="111"/>
      <c r="AM780" s="111"/>
      <c r="AN780" s="111"/>
      <c r="AO780" s="111"/>
      <c r="AP780" s="111"/>
      <c r="AQ780" s="111"/>
      <c r="AR780" s="111"/>
      <c r="AS780" s="111"/>
      <c r="AT780" s="111"/>
      <c r="AU780" s="111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111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</row>
    <row r="781" spans="1:97" ht="15" thickBot="1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111"/>
      <c r="AJ781" s="111"/>
      <c r="AK781" s="111"/>
      <c r="AL781" s="111"/>
      <c r="AM781" s="111"/>
      <c r="AN781" s="111"/>
      <c r="AO781" s="111"/>
      <c r="AP781" s="111"/>
      <c r="AQ781" s="111"/>
      <c r="AR781" s="111"/>
      <c r="AS781" s="111"/>
      <c r="AT781" s="111"/>
      <c r="AU781" s="111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111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</row>
    <row r="782" spans="1:97" ht="15" thickBot="1">
      <c r="A782" s="49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  <c r="AT782" s="111"/>
      <c r="AU782" s="111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111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</row>
    <row r="783" spans="1:97" ht="15" thickBot="1">
      <c r="A783" s="49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111"/>
      <c r="AJ783" s="111"/>
      <c r="AK783" s="111"/>
      <c r="AL783" s="111"/>
      <c r="AM783" s="111"/>
      <c r="AN783" s="111"/>
      <c r="AO783" s="111"/>
      <c r="AP783" s="111"/>
      <c r="AQ783" s="111"/>
      <c r="AR783" s="111"/>
      <c r="AS783" s="111"/>
      <c r="AT783" s="111"/>
      <c r="AU783" s="111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111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</row>
    <row r="784" spans="1:97" ht="15" thickBot="1">
      <c r="A784" s="49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  <c r="AT784" s="111"/>
      <c r="AU784" s="111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111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</row>
    <row r="785" spans="1:97" ht="15" thickBot="1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111"/>
      <c r="AJ785" s="111"/>
      <c r="AK785" s="111"/>
      <c r="AL785" s="111"/>
      <c r="AM785" s="111"/>
      <c r="AN785" s="111"/>
      <c r="AO785" s="111"/>
      <c r="AP785" s="111"/>
      <c r="AQ785" s="111"/>
      <c r="AR785" s="111"/>
      <c r="AS785" s="111"/>
      <c r="AT785" s="111"/>
      <c r="AU785" s="111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111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</row>
    <row r="786" spans="1:97" ht="15" thickBot="1">
      <c r="A786" s="49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111"/>
      <c r="AJ786" s="111"/>
      <c r="AK786" s="111"/>
      <c r="AL786" s="111"/>
      <c r="AM786" s="111"/>
      <c r="AN786" s="111"/>
      <c r="AO786" s="111"/>
      <c r="AP786" s="111"/>
      <c r="AQ786" s="111"/>
      <c r="AR786" s="111"/>
      <c r="AS786" s="111"/>
      <c r="AT786" s="111"/>
      <c r="AU786" s="111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111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</row>
    <row r="787" spans="1:97" ht="15" thickBot="1">
      <c r="A787" s="49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  <c r="AN787" s="111"/>
      <c r="AO787" s="111"/>
      <c r="AP787" s="111"/>
      <c r="AQ787" s="111"/>
      <c r="AR787" s="111"/>
      <c r="AS787" s="111"/>
      <c r="AT787" s="111"/>
      <c r="AU787" s="111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111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</row>
    <row r="788" spans="1:97" ht="15" thickBot="1">
      <c r="A788" s="49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111"/>
      <c r="AJ788" s="111"/>
      <c r="AK788" s="111"/>
      <c r="AL788" s="111"/>
      <c r="AM788" s="111"/>
      <c r="AN788" s="111"/>
      <c r="AO788" s="111"/>
      <c r="AP788" s="111"/>
      <c r="AQ788" s="111"/>
      <c r="AR788" s="111"/>
      <c r="AS788" s="111"/>
      <c r="AT788" s="111"/>
      <c r="AU788" s="111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111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</row>
    <row r="789" spans="1:97" ht="15" thickBot="1">
      <c r="A789" s="49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111"/>
      <c r="AJ789" s="111"/>
      <c r="AK789" s="111"/>
      <c r="AL789" s="111"/>
      <c r="AM789" s="111"/>
      <c r="AN789" s="111"/>
      <c r="AO789" s="111"/>
      <c r="AP789" s="111"/>
      <c r="AQ789" s="111"/>
      <c r="AR789" s="111"/>
      <c r="AS789" s="111"/>
      <c r="AT789" s="111"/>
      <c r="AU789" s="111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111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</row>
    <row r="790" spans="1:97" ht="15" thickBot="1">
      <c r="A790" s="49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  <c r="AT790" s="111"/>
      <c r="AU790" s="111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111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</row>
    <row r="791" spans="1:97" ht="15" thickBot="1">
      <c r="A791" s="49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111"/>
      <c r="AJ791" s="111"/>
      <c r="AK791" s="111"/>
      <c r="AL791" s="111"/>
      <c r="AM791" s="111"/>
      <c r="AN791" s="111"/>
      <c r="AO791" s="111"/>
      <c r="AP791" s="111"/>
      <c r="AQ791" s="111"/>
      <c r="AR791" s="111"/>
      <c r="AS791" s="111"/>
      <c r="AT791" s="111"/>
      <c r="AU791" s="111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111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</row>
    <row r="792" spans="1:97" ht="15" thickBot="1">
      <c r="A792" s="49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1"/>
      <c r="AF792" s="111"/>
      <c r="AG792" s="111"/>
      <c r="AH792" s="111"/>
      <c r="AI792" s="111"/>
      <c r="AJ792" s="111"/>
      <c r="AK792" s="111"/>
      <c r="AL792" s="111"/>
      <c r="AM792" s="111"/>
      <c r="AN792" s="111"/>
      <c r="AO792" s="111"/>
      <c r="AP792" s="111"/>
      <c r="AQ792" s="111"/>
      <c r="AR792" s="111"/>
      <c r="AS792" s="111"/>
      <c r="AT792" s="111"/>
      <c r="AU792" s="111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111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</row>
    <row r="793" spans="1:97" ht="15" thickBot="1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1"/>
      <c r="AF793" s="111"/>
      <c r="AG793" s="111"/>
      <c r="AH793" s="111"/>
      <c r="AI793" s="111"/>
      <c r="AJ793" s="111"/>
      <c r="AK793" s="111"/>
      <c r="AL793" s="111"/>
      <c r="AM793" s="111"/>
      <c r="AN793" s="111"/>
      <c r="AO793" s="111"/>
      <c r="AP793" s="111"/>
      <c r="AQ793" s="111"/>
      <c r="AR793" s="111"/>
      <c r="AS793" s="111"/>
      <c r="AT793" s="111"/>
      <c r="AU793" s="111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111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</row>
    <row r="794" spans="1:97" ht="15" thickBot="1">
      <c r="A794" s="49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1"/>
      <c r="AF794" s="111"/>
      <c r="AG794" s="111"/>
      <c r="AH794" s="111"/>
      <c r="AI794" s="111"/>
      <c r="AJ794" s="111"/>
      <c r="AK794" s="111"/>
      <c r="AL794" s="111"/>
      <c r="AM794" s="111"/>
      <c r="AN794" s="111"/>
      <c r="AO794" s="111"/>
      <c r="AP794" s="111"/>
      <c r="AQ794" s="111"/>
      <c r="AR794" s="111"/>
      <c r="AS794" s="111"/>
      <c r="AT794" s="111"/>
      <c r="AU794" s="111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111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</row>
    <row r="795" spans="1:97" ht="15" thickBot="1">
      <c r="A795" s="49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1"/>
      <c r="AF795" s="111"/>
      <c r="AG795" s="111"/>
      <c r="AH795" s="111"/>
      <c r="AI795" s="111"/>
      <c r="AJ795" s="111"/>
      <c r="AK795" s="111"/>
      <c r="AL795" s="111"/>
      <c r="AM795" s="111"/>
      <c r="AN795" s="111"/>
      <c r="AO795" s="111"/>
      <c r="AP795" s="111"/>
      <c r="AQ795" s="111"/>
      <c r="AR795" s="111"/>
      <c r="AS795" s="111"/>
      <c r="AT795" s="111"/>
      <c r="AU795" s="111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111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</row>
    <row r="796" spans="1:97" ht="15" thickBot="1">
      <c r="A796" s="49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  <c r="AT796" s="111"/>
      <c r="AU796" s="111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111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</row>
    <row r="797" spans="1:97" ht="15" thickBot="1">
      <c r="A797" s="49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1"/>
      <c r="AF797" s="111"/>
      <c r="AG797" s="111"/>
      <c r="AH797" s="111"/>
      <c r="AI797" s="111"/>
      <c r="AJ797" s="111"/>
      <c r="AK797" s="111"/>
      <c r="AL797" s="111"/>
      <c r="AM797" s="111"/>
      <c r="AN797" s="111"/>
      <c r="AO797" s="111"/>
      <c r="AP797" s="111"/>
      <c r="AQ797" s="111"/>
      <c r="AR797" s="111"/>
      <c r="AS797" s="111"/>
      <c r="AT797" s="111"/>
      <c r="AU797" s="111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111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</row>
    <row r="798" spans="1:97" ht="15" thickBot="1">
      <c r="A798" s="49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1"/>
      <c r="AF798" s="111"/>
      <c r="AG798" s="111"/>
      <c r="AH798" s="111"/>
      <c r="AI798" s="111"/>
      <c r="AJ798" s="111"/>
      <c r="AK798" s="111"/>
      <c r="AL798" s="111"/>
      <c r="AM798" s="111"/>
      <c r="AN798" s="111"/>
      <c r="AO798" s="111"/>
      <c r="AP798" s="111"/>
      <c r="AQ798" s="111"/>
      <c r="AR798" s="111"/>
      <c r="AS798" s="111"/>
      <c r="AT798" s="111"/>
      <c r="AU798" s="111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111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</row>
    <row r="799" spans="1:97" ht="15" thickBot="1">
      <c r="A799" s="49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1"/>
      <c r="AF799" s="111"/>
      <c r="AG799" s="111"/>
      <c r="AH799" s="111"/>
      <c r="AI799" s="111"/>
      <c r="AJ799" s="111"/>
      <c r="AK799" s="111"/>
      <c r="AL799" s="111"/>
      <c r="AM799" s="111"/>
      <c r="AN799" s="111"/>
      <c r="AO799" s="111"/>
      <c r="AP799" s="111"/>
      <c r="AQ799" s="111"/>
      <c r="AR799" s="111"/>
      <c r="AS799" s="111"/>
      <c r="AT799" s="111"/>
      <c r="AU799" s="111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111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</row>
    <row r="800" spans="1:97" ht="15" thickBot="1">
      <c r="A800" s="49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111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</row>
    <row r="801" spans="1:97" ht="15" thickBot="1">
      <c r="A801" s="49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  <c r="AT801" s="111"/>
      <c r="AU801" s="111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111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</row>
    <row r="802" spans="1:97" ht="15" thickBot="1">
      <c r="A802" s="49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1"/>
      <c r="AF802" s="111"/>
      <c r="AG802" s="111"/>
      <c r="AH802" s="111"/>
      <c r="AI802" s="111"/>
      <c r="AJ802" s="111"/>
      <c r="AK802" s="111"/>
      <c r="AL802" s="111"/>
      <c r="AM802" s="111"/>
      <c r="AN802" s="111"/>
      <c r="AO802" s="111"/>
      <c r="AP802" s="111"/>
      <c r="AQ802" s="111"/>
      <c r="AR802" s="111"/>
      <c r="AS802" s="111"/>
      <c r="AT802" s="111"/>
      <c r="AU802" s="111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111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</row>
    <row r="803" spans="1:97" ht="15" thickBot="1">
      <c r="A803" s="49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111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</row>
    <row r="804" spans="1:97" ht="15" thickBot="1">
      <c r="A804" s="49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111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</row>
    <row r="805" spans="1:97" ht="15" thickBot="1">
      <c r="A805" s="49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  <c r="AE805" s="111"/>
      <c r="AF805" s="111"/>
      <c r="AG805" s="111"/>
      <c r="AH805" s="111"/>
      <c r="AI805" s="111"/>
      <c r="AJ805" s="111"/>
      <c r="AK805" s="111"/>
      <c r="AL805" s="111"/>
      <c r="AM805" s="111"/>
      <c r="AN805" s="111"/>
      <c r="AO805" s="111"/>
      <c r="AP805" s="111"/>
      <c r="AQ805" s="111"/>
      <c r="AR805" s="111"/>
      <c r="AS805" s="111"/>
      <c r="AT805" s="111"/>
      <c r="AU805" s="111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111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</row>
    <row r="806" spans="1:97" ht="15" thickBot="1">
      <c r="A806" s="49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1"/>
      <c r="AF806" s="111"/>
      <c r="AG806" s="111"/>
      <c r="AH806" s="111"/>
      <c r="AI806" s="111"/>
      <c r="AJ806" s="111"/>
      <c r="AK806" s="111"/>
      <c r="AL806" s="111"/>
      <c r="AM806" s="111"/>
      <c r="AN806" s="111"/>
      <c r="AO806" s="111"/>
      <c r="AP806" s="111"/>
      <c r="AQ806" s="111"/>
      <c r="AR806" s="111"/>
      <c r="AS806" s="111"/>
      <c r="AT806" s="111"/>
      <c r="AU806" s="111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111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</row>
    <row r="807" spans="1:97" ht="15" thickBot="1">
      <c r="A807" s="49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1"/>
      <c r="AF807" s="111"/>
      <c r="AG807" s="111"/>
      <c r="AH807" s="111"/>
      <c r="AI807" s="111"/>
      <c r="AJ807" s="111"/>
      <c r="AK807" s="111"/>
      <c r="AL807" s="111"/>
      <c r="AM807" s="111"/>
      <c r="AN807" s="111"/>
      <c r="AO807" s="111"/>
      <c r="AP807" s="111"/>
      <c r="AQ807" s="111"/>
      <c r="AR807" s="111"/>
      <c r="AS807" s="111"/>
      <c r="AT807" s="111"/>
      <c r="AU807" s="111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111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</row>
    <row r="808" spans="1:97" ht="15" thickBot="1">
      <c r="A808" s="49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1"/>
      <c r="AF808" s="111"/>
      <c r="AG808" s="111"/>
      <c r="AH808" s="111"/>
      <c r="AI808" s="111"/>
      <c r="AJ808" s="111"/>
      <c r="AK808" s="111"/>
      <c r="AL808" s="111"/>
      <c r="AM808" s="111"/>
      <c r="AN808" s="111"/>
      <c r="AO808" s="111"/>
      <c r="AP808" s="111"/>
      <c r="AQ808" s="111"/>
      <c r="AR808" s="111"/>
      <c r="AS808" s="111"/>
      <c r="AT808" s="111"/>
      <c r="AU808" s="111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111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</row>
    <row r="809" spans="1:97" ht="15" thickBot="1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1"/>
      <c r="AF809" s="111"/>
      <c r="AG809" s="111"/>
      <c r="AH809" s="111"/>
      <c r="AI809" s="111"/>
      <c r="AJ809" s="111"/>
      <c r="AK809" s="111"/>
      <c r="AL809" s="111"/>
      <c r="AM809" s="111"/>
      <c r="AN809" s="111"/>
      <c r="AO809" s="111"/>
      <c r="AP809" s="111"/>
      <c r="AQ809" s="111"/>
      <c r="AR809" s="111"/>
      <c r="AS809" s="111"/>
      <c r="AT809" s="111"/>
      <c r="AU809" s="111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111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</row>
    <row r="810" spans="1:97" ht="15" thickBot="1">
      <c r="A810" s="49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1"/>
      <c r="AF810" s="111"/>
      <c r="AG810" s="111"/>
      <c r="AH810" s="111"/>
      <c r="AI810" s="111"/>
      <c r="AJ810" s="111"/>
      <c r="AK810" s="111"/>
      <c r="AL810" s="111"/>
      <c r="AM810" s="111"/>
      <c r="AN810" s="111"/>
      <c r="AO810" s="111"/>
      <c r="AP810" s="111"/>
      <c r="AQ810" s="111"/>
      <c r="AR810" s="111"/>
      <c r="AS810" s="111"/>
      <c r="AT810" s="111"/>
      <c r="AU810" s="111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111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</row>
    <row r="811" spans="1:97" ht="15" thickBot="1">
      <c r="A811" s="49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1"/>
      <c r="AF811" s="111"/>
      <c r="AG811" s="111"/>
      <c r="AH811" s="111"/>
      <c r="AI811" s="111"/>
      <c r="AJ811" s="111"/>
      <c r="AK811" s="111"/>
      <c r="AL811" s="111"/>
      <c r="AM811" s="111"/>
      <c r="AN811" s="111"/>
      <c r="AO811" s="111"/>
      <c r="AP811" s="111"/>
      <c r="AQ811" s="111"/>
      <c r="AR811" s="111"/>
      <c r="AS811" s="111"/>
      <c r="AT811" s="111"/>
      <c r="AU811" s="111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111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</row>
    <row r="812" spans="1:97" ht="15" thickBot="1">
      <c r="A812" s="49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  <c r="AE812" s="111"/>
      <c r="AF812" s="111"/>
      <c r="AG812" s="111"/>
      <c r="AH812" s="111"/>
      <c r="AI812" s="111"/>
      <c r="AJ812" s="111"/>
      <c r="AK812" s="111"/>
      <c r="AL812" s="111"/>
      <c r="AM812" s="111"/>
      <c r="AN812" s="111"/>
      <c r="AO812" s="111"/>
      <c r="AP812" s="111"/>
      <c r="AQ812" s="111"/>
      <c r="AR812" s="111"/>
      <c r="AS812" s="111"/>
      <c r="AT812" s="111"/>
      <c r="AU812" s="111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111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</row>
    <row r="813" spans="1:97" ht="15" thickBot="1">
      <c r="A813" s="49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  <c r="AE813" s="111"/>
      <c r="AF813" s="111"/>
      <c r="AG813" s="111"/>
      <c r="AH813" s="111"/>
      <c r="AI813" s="111"/>
      <c r="AJ813" s="111"/>
      <c r="AK813" s="111"/>
      <c r="AL813" s="111"/>
      <c r="AM813" s="111"/>
      <c r="AN813" s="111"/>
      <c r="AO813" s="111"/>
      <c r="AP813" s="111"/>
      <c r="AQ813" s="111"/>
      <c r="AR813" s="111"/>
      <c r="AS813" s="111"/>
      <c r="AT813" s="111"/>
      <c r="AU813" s="111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111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</row>
    <row r="814" spans="1:97" ht="15" thickBot="1">
      <c r="A814" s="49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  <c r="AE814" s="111"/>
      <c r="AF814" s="111"/>
      <c r="AG814" s="111"/>
      <c r="AH814" s="111"/>
      <c r="AI814" s="111"/>
      <c r="AJ814" s="111"/>
      <c r="AK814" s="111"/>
      <c r="AL814" s="111"/>
      <c r="AM814" s="111"/>
      <c r="AN814" s="111"/>
      <c r="AO814" s="111"/>
      <c r="AP814" s="111"/>
      <c r="AQ814" s="111"/>
      <c r="AR814" s="111"/>
      <c r="AS814" s="111"/>
      <c r="AT814" s="111"/>
      <c r="AU814" s="111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111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</row>
    <row r="815" spans="1:97" ht="15" thickBot="1">
      <c r="A815" s="49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1"/>
      <c r="AF815" s="111"/>
      <c r="AG815" s="111"/>
      <c r="AH815" s="111"/>
      <c r="AI815" s="111"/>
      <c r="AJ815" s="111"/>
      <c r="AK815" s="111"/>
      <c r="AL815" s="111"/>
      <c r="AM815" s="111"/>
      <c r="AN815" s="111"/>
      <c r="AO815" s="111"/>
      <c r="AP815" s="111"/>
      <c r="AQ815" s="111"/>
      <c r="AR815" s="111"/>
      <c r="AS815" s="111"/>
      <c r="AT815" s="111"/>
      <c r="AU815" s="111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111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</row>
    <row r="816" spans="1:97" ht="15" thickBot="1">
      <c r="A816" s="49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  <c r="AE816" s="111"/>
      <c r="AF816" s="111"/>
      <c r="AG816" s="111"/>
      <c r="AH816" s="111"/>
      <c r="AI816" s="111"/>
      <c r="AJ816" s="111"/>
      <c r="AK816" s="111"/>
      <c r="AL816" s="111"/>
      <c r="AM816" s="111"/>
      <c r="AN816" s="111"/>
      <c r="AO816" s="111"/>
      <c r="AP816" s="111"/>
      <c r="AQ816" s="111"/>
      <c r="AR816" s="111"/>
      <c r="AS816" s="111"/>
      <c r="AT816" s="111"/>
      <c r="AU816" s="111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111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</row>
    <row r="817" spans="1:97" ht="15" thickBot="1">
      <c r="A817" s="49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  <c r="AE817" s="111"/>
      <c r="AF817" s="111"/>
      <c r="AG817" s="111"/>
      <c r="AH817" s="111"/>
      <c r="AI817" s="111"/>
      <c r="AJ817" s="111"/>
      <c r="AK817" s="111"/>
      <c r="AL817" s="111"/>
      <c r="AM817" s="111"/>
      <c r="AN817" s="111"/>
      <c r="AO817" s="111"/>
      <c r="AP817" s="111"/>
      <c r="AQ817" s="111"/>
      <c r="AR817" s="111"/>
      <c r="AS817" s="111"/>
      <c r="AT817" s="111"/>
      <c r="AU817" s="111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111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</row>
    <row r="818" spans="1:97" ht="15" thickBot="1">
      <c r="A818" s="49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  <c r="AE818" s="111"/>
      <c r="AF818" s="111"/>
      <c r="AG818" s="111"/>
      <c r="AH818" s="111"/>
      <c r="AI818" s="111"/>
      <c r="AJ818" s="111"/>
      <c r="AK818" s="111"/>
      <c r="AL818" s="111"/>
      <c r="AM818" s="111"/>
      <c r="AN818" s="111"/>
      <c r="AO818" s="111"/>
      <c r="AP818" s="111"/>
      <c r="AQ818" s="111"/>
      <c r="AR818" s="111"/>
      <c r="AS818" s="111"/>
      <c r="AT818" s="111"/>
      <c r="AU818" s="111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111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</row>
    <row r="819" spans="1:97" ht="15" thickBot="1">
      <c r="A819" s="49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  <c r="AE819" s="111"/>
      <c r="AF819" s="111"/>
      <c r="AG819" s="111"/>
      <c r="AH819" s="111"/>
      <c r="AI819" s="111"/>
      <c r="AJ819" s="111"/>
      <c r="AK819" s="111"/>
      <c r="AL819" s="111"/>
      <c r="AM819" s="111"/>
      <c r="AN819" s="111"/>
      <c r="AO819" s="111"/>
      <c r="AP819" s="111"/>
      <c r="AQ819" s="111"/>
      <c r="AR819" s="111"/>
      <c r="AS819" s="111"/>
      <c r="AT819" s="111"/>
      <c r="AU819" s="111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111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</row>
    <row r="820" spans="1:97" ht="15" thickBot="1">
      <c r="A820" s="49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  <c r="AE820" s="111"/>
      <c r="AF820" s="111"/>
      <c r="AG820" s="111"/>
      <c r="AH820" s="111"/>
      <c r="AI820" s="111"/>
      <c r="AJ820" s="111"/>
      <c r="AK820" s="111"/>
      <c r="AL820" s="111"/>
      <c r="AM820" s="111"/>
      <c r="AN820" s="111"/>
      <c r="AO820" s="111"/>
      <c r="AP820" s="111"/>
      <c r="AQ820" s="111"/>
      <c r="AR820" s="111"/>
      <c r="AS820" s="111"/>
      <c r="AT820" s="111"/>
      <c r="AU820" s="111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111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</row>
    <row r="821" spans="1:97" ht="15" thickBot="1">
      <c r="A821" s="49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  <c r="AT821" s="111"/>
      <c r="AU821" s="111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111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</row>
    <row r="822" spans="1:97" ht="15" thickBot="1">
      <c r="A822" s="49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  <c r="AE822" s="111"/>
      <c r="AF822" s="111"/>
      <c r="AG822" s="111"/>
      <c r="AH822" s="111"/>
      <c r="AI822" s="111"/>
      <c r="AJ822" s="111"/>
      <c r="AK822" s="111"/>
      <c r="AL822" s="111"/>
      <c r="AM822" s="111"/>
      <c r="AN822" s="111"/>
      <c r="AO822" s="111"/>
      <c r="AP822" s="111"/>
      <c r="AQ822" s="111"/>
      <c r="AR822" s="111"/>
      <c r="AS822" s="111"/>
      <c r="AT822" s="111"/>
      <c r="AU822" s="111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111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</row>
    <row r="823" spans="1:97" ht="15" thickBot="1">
      <c r="A823" s="49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1"/>
      <c r="AF823" s="111"/>
      <c r="AG823" s="111"/>
      <c r="AH823" s="111"/>
      <c r="AI823" s="111"/>
      <c r="AJ823" s="111"/>
      <c r="AK823" s="111"/>
      <c r="AL823" s="111"/>
      <c r="AM823" s="111"/>
      <c r="AN823" s="111"/>
      <c r="AO823" s="111"/>
      <c r="AP823" s="111"/>
      <c r="AQ823" s="111"/>
      <c r="AR823" s="111"/>
      <c r="AS823" s="111"/>
      <c r="AT823" s="111"/>
      <c r="AU823" s="111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111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</row>
    <row r="824" spans="1:97" ht="15" thickBot="1">
      <c r="A824" s="49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1"/>
      <c r="AF824" s="111"/>
      <c r="AG824" s="111"/>
      <c r="AH824" s="111"/>
      <c r="AI824" s="111"/>
      <c r="AJ824" s="111"/>
      <c r="AK824" s="111"/>
      <c r="AL824" s="111"/>
      <c r="AM824" s="111"/>
      <c r="AN824" s="111"/>
      <c r="AO824" s="111"/>
      <c r="AP824" s="111"/>
      <c r="AQ824" s="111"/>
      <c r="AR824" s="111"/>
      <c r="AS824" s="111"/>
      <c r="AT824" s="111"/>
      <c r="AU824" s="111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111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</row>
    <row r="825" spans="1:97" ht="15" thickBot="1">
      <c r="A825" s="49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1"/>
      <c r="AF825" s="111"/>
      <c r="AG825" s="111"/>
      <c r="AH825" s="111"/>
      <c r="AI825" s="111"/>
      <c r="AJ825" s="111"/>
      <c r="AK825" s="111"/>
      <c r="AL825" s="111"/>
      <c r="AM825" s="111"/>
      <c r="AN825" s="111"/>
      <c r="AO825" s="111"/>
      <c r="AP825" s="111"/>
      <c r="AQ825" s="111"/>
      <c r="AR825" s="111"/>
      <c r="AS825" s="111"/>
      <c r="AT825" s="111"/>
      <c r="AU825" s="111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111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</row>
    <row r="826" spans="1:97" ht="15" thickBot="1">
      <c r="A826" s="49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11"/>
      <c r="AO826" s="111"/>
      <c r="AP826" s="111"/>
      <c r="AQ826" s="111"/>
      <c r="AR826" s="111"/>
      <c r="AS826" s="111"/>
      <c r="AT826" s="111"/>
      <c r="AU826" s="111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111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</row>
    <row r="827" spans="1:97" ht="15" thickBot="1">
      <c r="A827" s="49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1"/>
      <c r="AF827" s="111"/>
      <c r="AG827" s="111"/>
      <c r="AH827" s="111"/>
      <c r="AI827" s="111"/>
      <c r="AJ827" s="111"/>
      <c r="AK827" s="111"/>
      <c r="AL827" s="111"/>
      <c r="AM827" s="111"/>
      <c r="AN827" s="111"/>
      <c r="AO827" s="111"/>
      <c r="AP827" s="111"/>
      <c r="AQ827" s="111"/>
      <c r="AR827" s="111"/>
      <c r="AS827" s="111"/>
      <c r="AT827" s="111"/>
      <c r="AU827" s="111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111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</row>
    <row r="828" spans="1:97" ht="15" thickBot="1">
      <c r="A828" s="49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111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</row>
    <row r="829" spans="1:97" ht="15" thickBot="1">
      <c r="A829" s="49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1"/>
      <c r="AF829" s="111"/>
      <c r="AG829" s="111"/>
      <c r="AH829" s="111"/>
      <c r="AI829" s="111"/>
      <c r="AJ829" s="111"/>
      <c r="AK829" s="111"/>
      <c r="AL829" s="111"/>
      <c r="AM829" s="111"/>
      <c r="AN829" s="111"/>
      <c r="AO829" s="111"/>
      <c r="AP829" s="111"/>
      <c r="AQ829" s="111"/>
      <c r="AR829" s="111"/>
      <c r="AS829" s="111"/>
      <c r="AT829" s="111"/>
      <c r="AU829" s="111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111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</row>
    <row r="830" spans="1:97" ht="15" thickBot="1">
      <c r="A830" s="49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1"/>
      <c r="AF830" s="111"/>
      <c r="AG830" s="111"/>
      <c r="AH830" s="111"/>
      <c r="AI830" s="111"/>
      <c r="AJ830" s="111"/>
      <c r="AK830" s="111"/>
      <c r="AL830" s="111"/>
      <c r="AM830" s="111"/>
      <c r="AN830" s="111"/>
      <c r="AO830" s="111"/>
      <c r="AP830" s="111"/>
      <c r="AQ830" s="111"/>
      <c r="AR830" s="111"/>
      <c r="AS830" s="111"/>
      <c r="AT830" s="111"/>
      <c r="AU830" s="111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111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</row>
    <row r="831" spans="1:97" ht="15" thickBot="1">
      <c r="A831" s="49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1"/>
      <c r="AF831" s="111"/>
      <c r="AG831" s="111"/>
      <c r="AH831" s="111"/>
      <c r="AI831" s="111"/>
      <c r="AJ831" s="111"/>
      <c r="AK831" s="111"/>
      <c r="AL831" s="111"/>
      <c r="AM831" s="111"/>
      <c r="AN831" s="111"/>
      <c r="AO831" s="111"/>
      <c r="AP831" s="111"/>
      <c r="AQ831" s="111"/>
      <c r="AR831" s="111"/>
      <c r="AS831" s="111"/>
      <c r="AT831" s="111"/>
      <c r="AU831" s="111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111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</row>
    <row r="832" spans="1:97" ht="15" thickBot="1">
      <c r="A832" s="49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111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</row>
    <row r="833" spans="1:97" ht="15" thickBot="1">
      <c r="A833" s="49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111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</row>
    <row r="834" spans="1:97" ht="15" thickBot="1">
      <c r="A834" s="49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111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</row>
    <row r="835" spans="1:97" ht="15" thickBot="1">
      <c r="A835" s="49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111"/>
      <c r="AJ835" s="111"/>
      <c r="AK835" s="111"/>
      <c r="AL835" s="111"/>
      <c r="AM835" s="111"/>
      <c r="AN835" s="111"/>
      <c r="AO835" s="111"/>
      <c r="AP835" s="111"/>
      <c r="AQ835" s="111"/>
      <c r="AR835" s="111"/>
      <c r="AS835" s="111"/>
      <c r="AT835" s="111"/>
      <c r="AU835" s="111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111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</row>
    <row r="836" spans="1:97" ht="15" thickBot="1">
      <c r="A836" s="49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1"/>
      <c r="AF836" s="111"/>
      <c r="AG836" s="111"/>
      <c r="AH836" s="111"/>
      <c r="AI836" s="111"/>
      <c r="AJ836" s="111"/>
      <c r="AK836" s="111"/>
      <c r="AL836" s="111"/>
      <c r="AM836" s="111"/>
      <c r="AN836" s="111"/>
      <c r="AO836" s="111"/>
      <c r="AP836" s="111"/>
      <c r="AQ836" s="111"/>
      <c r="AR836" s="111"/>
      <c r="AS836" s="111"/>
      <c r="AT836" s="111"/>
      <c r="AU836" s="111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111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</row>
    <row r="837" spans="1:97" ht="15" thickBot="1">
      <c r="A837" s="49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1"/>
      <c r="AF837" s="111"/>
      <c r="AG837" s="111"/>
      <c r="AH837" s="111"/>
      <c r="AI837" s="111"/>
      <c r="AJ837" s="111"/>
      <c r="AK837" s="111"/>
      <c r="AL837" s="111"/>
      <c r="AM837" s="111"/>
      <c r="AN837" s="111"/>
      <c r="AO837" s="111"/>
      <c r="AP837" s="111"/>
      <c r="AQ837" s="111"/>
      <c r="AR837" s="111"/>
      <c r="AS837" s="111"/>
      <c r="AT837" s="111"/>
      <c r="AU837" s="111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111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</row>
    <row r="838" spans="1:97" ht="15" thickBot="1">
      <c r="A838" s="49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  <c r="AT838" s="111"/>
      <c r="AU838" s="111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111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</row>
    <row r="839" spans="1:97" ht="15" thickBot="1">
      <c r="A839" s="49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1"/>
      <c r="AF839" s="111"/>
      <c r="AG839" s="111"/>
      <c r="AH839" s="111"/>
      <c r="AI839" s="111"/>
      <c r="AJ839" s="111"/>
      <c r="AK839" s="111"/>
      <c r="AL839" s="111"/>
      <c r="AM839" s="111"/>
      <c r="AN839" s="111"/>
      <c r="AO839" s="111"/>
      <c r="AP839" s="111"/>
      <c r="AQ839" s="111"/>
      <c r="AR839" s="111"/>
      <c r="AS839" s="111"/>
      <c r="AT839" s="111"/>
      <c r="AU839" s="111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111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  <c r="CG839" s="50"/>
      <c r="CH839" s="50"/>
      <c r="CI839" s="50"/>
      <c r="CJ839" s="50"/>
      <c r="CK839" s="50"/>
      <c r="CL839" s="50"/>
      <c r="CM839" s="50"/>
      <c r="CN839" s="50"/>
      <c r="CO839" s="50"/>
      <c r="CP839" s="50"/>
      <c r="CQ839" s="50"/>
      <c r="CR839" s="50"/>
      <c r="CS839" s="50"/>
    </row>
    <row r="840" spans="1:97" ht="15" thickBot="1">
      <c r="A840" s="49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111"/>
      <c r="AJ840" s="111"/>
      <c r="AK840" s="111"/>
      <c r="AL840" s="111"/>
      <c r="AM840" s="111"/>
      <c r="AN840" s="111"/>
      <c r="AO840" s="111"/>
      <c r="AP840" s="111"/>
      <c r="AQ840" s="111"/>
      <c r="AR840" s="111"/>
      <c r="AS840" s="111"/>
      <c r="AT840" s="111"/>
      <c r="AU840" s="111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111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  <c r="CG840" s="50"/>
      <c r="CH840" s="50"/>
      <c r="CI840" s="50"/>
      <c r="CJ840" s="50"/>
      <c r="CK840" s="50"/>
      <c r="CL840" s="50"/>
      <c r="CM840" s="50"/>
      <c r="CN840" s="50"/>
      <c r="CO840" s="50"/>
      <c r="CP840" s="50"/>
      <c r="CQ840" s="50"/>
      <c r="CR840" s="50"/>
      <c r="CS840" s="50"/>
    </row>
    <row r="841" spans="1:97" ht="15" thickBot="1">
      <c r="A841" s="49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1"/>
      <c r="AF841" s="111"/>
      <c r="AG841" s="111"/>
      <c r="AH841" s="111"/>
      <c r="AI841" s="111"/>
      <c r="AJ841" s="111"/>
      <c r="AK841" s="111"/>
      <c r="AL841" s="111"/>
      <c r="AM841" s="111"/>
      <c r="AN841" s="111"/>
      <c r="AO841" s="111"/>
      <c r="AP841" s="111"/>
      <c r="AQ841" s="111"/>
      <c r="AR841" s="111"/>
      <c r="AS841" s="111"/>
      <c r="AT841" s="111"/>
      <c r="AU841" s="111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111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  <c r="CG841" s="50"/>
      <c r="CH841" s="50"/>
      <c r="CI841" s="50"/>
      <c r="CJ841" s="50"/>
      <c r="CK841" s="50"/>
      <c r="CL841" s="50"/>
      <c r="CM841" s="50"/>
      <c r="CN841" s="50"/>
      <c r="CO841" s="50"/>
      <c r="CP841" s="50"/>
      <c r="CQ841" s="50"/>
      <c r="CR841" s="50"/>
      <c r="CS841" s="50"/>
    </row>
    <row r="842" spans="1:97" ht="15" thickBot="1">
      <c r="A842" s="49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1"/>
      <c r="AF842" s="111"/>
      <c r="AG842" s="111"/>
      <c r="AH842" s="111"/>
      <c r="AI842" s="111"/>
      <c r="AJ842" s="111"/>
      <c r="AK842" s="111"/>
      <c r="AL842" s="111"/>
      <c r="AM842" s="111"/>
      <c r="AN842" s="111"/>
      <c r="AO842" s="111"/>
      <c r="AP842" s="111"/>
      <c r="AQ842" s="111"/>
      <c r="AR842" s="111"/>
      <c r="AS842" s="111"/>
      <c r="AT842" s="111"/>
      <c r="AU842" s="111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111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  <c r="CG842" s="50"/>
      <c r="CH842" s="50"/>
      <c r="CI842" s="50"/>
      <c r="CJ842" s="50"/>
      <c r="CK842" s="50"/>
      <c r="CL842" s="50"/>
      <c r="CM842" s="50"/>
      <c r="CN842" s="50"/>
      <c r="CO842" s="50"/>
      <c r="CP842" s="50"/>
      <c r="CQ842" s="50"/>
      <c r="CR842" s="50"/>
      <c r="CS842" s="50"/>
    </row>
    <row r="843" spans="1:97" ht="15" thickBot="1">
      <c r="A843" s="49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1"/>
      <c r="AF843" s="111"/>
      <c r="AG843" s="111"/>
      <c r="AH843" s="111"/>
      <c r="AI843" s="111"/>
      <c r="AJ843" s="111"/>
      <c r="AK843" s="111"/>
      <c r="AL843" s="111"/>
      <c r="AM843" s="111"/>
      <c r="AN843" s="111"/>
      <c r="AO843" s="111"/>
      <c r="AP843" s="111"/>
      <c r="AQ843" s="111"/>
      <c r="AR843" s="111"/>
      <c r="AS843" s="111"/>
      <c r="AT843" s="111"/>
      <c r="AU843" s="111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111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  <c r="CG843" s="50"/>
      <c r="CH843" s="50"/>
      <c r="CI843" s="50"/>
      <c r="CJ843" s="50"/>
      <c r="CK843" s="50"/>
      <c r="CL843" s="50"/>
      <c r="CM843" s="50"/>
      <c r="CN843" s="50"/>
      <c r="CO843" s="50"/>
      <c r="CP843" s="50"/>
      <c r="CQ843" s="50"/>
      <c r="CR843" s="50"/>
      <c r="CS843" s="50"/>
    </row>
    <row r="844" spans="1:97" ht="15" thickBot="1">
      <c r="A844" s="49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111"/>
      <c r="AJ844" s="111"/>
      <c r="AK844" s="111"/>
      <c r="AL844" s="111"/>
      <c r="AM844" s="111"/>
      <c r="AN844" s="111"/>
      <c r="AO844" s="111"/>
      <c r="AP844" s="111"/>
      <c r="AQ844" s="111"/>
      <c r="AR844" s="111"/>
      <c r="AS844" s="111"/>
      <c r="AT844" s="111"/>
      <c r="AU844" s="111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111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  <c r="CG844" s="50"/>
      <c r="CH844" s="50"/>
      <c r="CI844" s="50"/>
      <c r="CJ844" s="50"/>
      <c r="CK844" s="50"/>
      <c r="CL844" s="50"/>
      <c r="CM844" s="50"/>
      <c r="CN844" s="50"/>
      <c r="CO844" s="50"/>
      <c r="CP844" s="50"/>
      <c r="CQ844" s="50"/>
      <c r="CR844" s="50"/>
      <c r="CS844" s="50"/>
    </row>
    <row r="845" spans="1:97" ht="15" thickBot="1">
      <c r="A845" s="49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1"/>
      <c r="AF845" s="111"/>
      <c r="AG845" s="111"/>
      <c r="AH845" s="111"/>
      <c r="AI845" s="111"/>
      <c r="AJ845" s="111"/>
      <c r="AK845" s="111"/>
      <c r="AL845" s="111"/>
      <c r="AM845" s="111"/>
      <c r="AN845" s="111"/>
      <c r="AO845" s="111"/>
      <c r="AP845" s="111"/>
      <c r="AQ845" s="111"/>
      <c r="AR845" s="111"/>
      <c r="AS845" s="111"/>
      <c r="AT845" s="111"/>
      <c r="AU845" s="111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111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  <c r="CG845" s="50"/>
      <c r="CH845" s="50"/>
      <c r="CI845" s="50"/>
      <c r="CJ845" s="50"/>
      <c r="CK845" s="50"/>
      <c r="CL845" s="50"/>
      <c r="CM845" s="50"/>
      <c r="CN845" s="50"/>
      <c r="CO845" s="50"/>
      <c r="CP845" s="50"/>
      <c r="CQ845" s="50"/>
      <c r="CR845" s="50"/>
      <c r="CS845" s="50"/>
    </row>
    <row r="846" spans="1:97" ht="15" thickBot="1">
      <c r="A846" s="49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111"/>
      <c r="AJ846" s="111"/>
      <c r="AK846" s="111"/>
      <c r="AL846" s="111"/>
      <c r="AM846" s="111"/>
      <c r="AN846" s="111"/>
      <c r="AO846" s="111"/>
      <c r="AP846" s="111"/>
      <c r="AQ846" s="111"/>
      <c r="AR846" s="111"/>
      <c r="AS846" s="111"/>
      <c r="AT846" s="111"/>
      <c r="AU846" s="111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111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  <c r="CG846" s="50"/>
      <c r="CH846" s="50"/>
      <c r="CI846" s="50"/>
      <c r="CJ846" s="50"/>
      <c r="CK846" s="50"/>
      <c r="CL846" s="50"/>
      <c r="CM846" s="50"/>
      <c r="CN846" s="50"/>
      <c r="CO846" s="50"/>
      <c r="CP846" s="50"/>
      <c r="CQ846" s="50"/>
      <c r="CR846" s="50"/>
      <c r="CS846" s="50"/>
    </row>
    <row r="847" spans="1:97" ht="15" thickBot="1">
      <c r="A847" s="49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1"/>
      <c r="AF847" s="111"/>
      <c r="AG847" s="111"/>
      <c r="AH847" s="111"/>
      <c r="AI847" s="111"/>
      <c r="AJ847" s="111"/>
      <c r="AK847" s="111"/>
      <c r="AL847" s="111"/>
      <c r="AM847" s="111"/>
      <c r="AN847" s="111"/>
      <c r="AO847" s="111"/>
      <c r="AP847" s="111"/>
      <c r="AQ847" s="111"/>
      <c r="AR847" s="111"/>
      <c r="AS847" s="111"/>
      <c r="AT847" s="111"/>
      <c r="AU847" s="111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111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  <c r="CG847" s="50"/>
      <c r="CH847" s="50"/>
      <c r="CI847" s="50"/>
      <c r="CJ847" s="50"/>
      <c r="CK847" s="50"/>
      <c r="CL847" s="50"/>
      <c r="CM847" s="50"/>
      <c r="CN847" s="50"/>
      <c r="CO847" s="50"/>
      <c r="CP847" s="50"/>
      <c r="CQ847" s="50"/>
      <c r="CR847" s="50"/>
      <c r="CS847" s="50"/>
    </row>
    <row r="848" spans="1:97" ht="15" thickBot="1">
      <c r="A848" s="49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  <c r="AE848" s="111"/>
      <c r="AF848" s="111"/>
      <c r="AG848" s="111"/>
      <c r="AH848" s="111"/>
      <c r="AI848" s="111"/>
      <c r="AJ848" s="111"/>
      <c r="AK848" s="111"/>
      <c r="AL848" s="111"/>
      <c r="AM848" s="111"/>
      <c r="AN848" s="111"/>
      <c r="AO848" s="111"/>
      <c r="AP848" s="111"/>
      <c r="AQ848" s="111"/>
      <c r="AR848" s="111"/>
      <c r="AS848" s="111"/>
      <c r="AT848" s="111"/>
      <c r="AU848" s="111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111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  <c r="CG848" s="50"/>
      <c r="CH848" s="50"/>
      <c r="CI848" s="50"/>
      <c r="CJ848" s="50"/>
      <c r="CK848" s="50"/>
      <c r="CL848" s="50"/>
      <c r="CM848" s="50"/>
      <c r="CN848" s="50"/>
      <c r="CO848" s="50"/>
      <c r="CP848" s="50"/>
      <c r="CQ848" s="50"/>
      <c r="CR848" s="50"/>
      <c r="CS848" s="50"/>
    </row>
    <row r="849" spans="1:97" ht="15" thickBot="1">
      <c r="A849" s="49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  <c r="AE849" s="111"/>
      <c r="AF849" s="111"/>
      <c r="AG849" s="111"/>
      <c r="AH849" s="111"/>
      <c r="AI849" s="111"/>
      <c r="AJ849" s="111"/>
      <c r="AK849" s="111"/>
      <c r="AL849" s="111"/>
      <c r="AM849" s="111"/>
      <c r="AN849" s="111"/>
      <c r="AO849" s="111"/>
      <c r="AP849" s="111"/>
      <c r="AQ849" s="111"/>
      <c r="AR849" s="111"/>
      <c r="AS849" s="111"/>
      <c r="AT849" s="111"/>
      <c r="AU849" s="111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111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  <c r="CG849" s="50"/>
      <c r="CH849" s="50"/>
      <c r="CI849" s="50"/>
      <c r="CJ849" s="50"/>
      <c r="CK849" s="50"/>
      <c r="CL849" s="50"/>
      <c r="CM849" s="50"/>
      <c r="CN849" s="50"/>
      <c r="CO849" s="50"/>
      <c r="CP849" s="50"/>
      <c r="CQ849" s="50"/>
      <c r="CR849" s="50"/>
      <c r="CS849" s="50"/>
    </row>
    <row r="850" spans="1:97" ht="15" thickBot="1">
      <c r="A850" s="49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  <c r="AE850" s="111"/>
      <c r="AF850" s="111"/>
      <c r="AG850" s="111"/>
      <c r="AH850" s="111"/>
      <c r="AI850" s="111"/>
      <c r="AJ850" s="111"/>
      <c r="AK850" s="111"/>
      <c r="AL850" s="111"/>
      <c r="AM850" s="111"/>
      <c r="AN850" s="111"/>
      <c r="AO850" s="111"/>
      <c r="AP850" s="111"/>
      <c r="AQ850" s="111"/>
      <c r="AR850" s="111"/>
      <c r="AS850" s="111"/>
      <c r="AT850" s="111"/>
      <c r="AU850" s="111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111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  <c r="CG850" s="50"/>
      <c r="CH850" s="50"/>
      <c r="CI850" s="50"/>
      <c r="CJ850" s="50"/>
      <c r="CK850" s="50"/>
      <c r="CL850" s="50"/>
      <c r="CM850" s="50"/>
      <c r="CN850" s="50"/>
      <c r="CO850" s="50"/>
      <c r="CP850" s="50"/>
      <c r="CQ850" s="50"/>
      <c r="CR850" s="50"/>
      <c r="CS850" s="50"/>
    </row>
    <row r="851" spans="1:97" ht="15" thickBot="1">
      <c r="A851" s="49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  <c r="AE851" s="111"/>
      <c r="AF851" s="111"/>
      <c r="AG851" s="111"/>
      <c r="AH851" s="111"/>
      <c r="AI851" s="111"/>
      <c r="AJ851" s="111"/>
      <c r="AK851" s="111"/>
      <c r="AL851" s="111"/>
      <c r="AM851" s="111"/>
      <c r="AN851" s="111"/>
      <c r="AO851" s="111"/>
      <c r="AP851" s="111"/>
      <c r="AQ851" s="111"/>
      <c r="AR851" s="111"/>
      <c r="AS851" s="111"/>
      <c r="AT851" s="111"/>
      <c r="AU851" s="111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111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  <c r="CG851" s="50"/>
      <c r="CH851" s="50"/>
      <c r="CI851" s="50"/>
      <c r="CJ851" s="50"/>
      <c r="CK851" s="50"/>
      <c r="CL851" s="50"/>
      <c r="CM851" s="50"/>
      <c r="CN851" s="50"/>
      <c r="CO851" s="50"/>
      <c r="CP851" s="50"/>
      <c r="CQ851" s="50"/>
      <c r="CR851" s="50"/>
      <c r="CS851" s="50"/>
    </row>
    <row r="852" spans="1:97" ht="15" thickBot="1">
      <c r="A852" s="49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  <c r="AE852" s="111"/>
      <c r="AF852" s="111"/>
      <c r="AG852" s="111"/>
      <c r="AH852" s="111"/>
      <c r="AI852" s="111"/>
      <c r="AJ852" s="111"/>
      <c r="AK852" s="111"/>
      <c r="AL852" s="111"/>
      <c r="AM852" s="111"/>
      <c r="AN852" s="111"/>
      <c r="AO852" s="111"/>
      <c r="AP852" s="111"/>
      <c r="AQ852" s="111"/>
      <c r="AR852" s="111"/>
      <c r="AS852" s="111"/>
      <c r="AT852" s="111"/>
      <c r="AU852" s="111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111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  <c r="CG852" s="50"/>
      <c r="CH852" s="50"/>
      <c r="CI852" s="50"/>
      <c r="CJ852" s="50"/>
      <c r="CK852" s="50"/>
      <c r="CL852" s="50"/>
      <c r="CM852" s="50"/>
      <c r="CN852" s="50"/>
      <c r="CO852" s="50"/>
      <c r="CP852" s="50"/>
      <c r="CQ852" s="50"/>
      <c r="CR852" s="50"/>
      <c r="CS852" s="50"/>
    </row>
    <row r="853" spans="1:97" ht="15" thickBot="1">
      <c r="A853" s="49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  <c r="AE853" s="111"/>
      <c r="AF853" s="111"/>
      <c r="AG853" s="111"/>
      <c r="AH853" s="111"/>
      <c r="AI853" s="111"/>
      <c r="AJ853" s="111"/>
      <c r="AK853" s="111"/>
      <c r="AL853" s="111"/>
      <c r="AM853" s="111"/>
      <c r="AN853" s="111"/>
      <c r="AO853" s="111"/>
      <c r="AP853" s="111"/>
      <c r="AQ853" s="111"/>
      <c r="AR853" s="111"/>
      <c r="AS853" s="111"/>
      <c r="AT853" s="111"/>
      <c r="AU853" s="111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111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  <c r="CG853" s="50"/>
      <c r="CH853" s="50"/>
      <c r="CI853" s="50"/>
      <c r="CJ853" s="50"/>
      <c r="CK853" s="50"/>
      <c r="CL853" s="50"/>
      <c r="CM853" s="50"/>
      <c r="CN853" s="50"/>
      <c r="CO853" s="50"/>
      <c r="CP853" s="50"/>
      <c r="CQ853" s="50"/>
      <c r="CR853" s="50"/>
      <c r="CS853" s="50"/>
    </row>
    <row r="854" spans="1:97" ht="15" thickBot="1">
      <c r="A854" s="49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  <c r="AE854" s="111"/>
      <c r="AF854" s="111"/>
      <c r="AG854" s="111"/>
      <c r="AH854" s="111"/>
      <c r="AI854" s="111"/>
      <c r="AJ854" s="111"/>
      <c r="AK854" s="111"/>
      <c r="AL854" s="111"/>
      <c r="AM854" s="111"/>
      <c r="AN854" s="111"/>
      <c r="AO854" s="111"/>
      <c r="AP854" s="111"/>
      <c r="AQ854" s="111"/>
      <c r="AR854" s="111"/>
      <c r="AS854" s="111"/>
      <c r="AT854" s="111"/>
      <c r="AU854" s="111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111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  <c r="CG854" s="50"/>
      <c r="CH854" s="50"/>
      <c r="CI854" s="50"/>
      <c r="CJ854" s="50"/>
      <c r="CK854" s="50"/>
      <c r="CL854" s="50"/>
      <c r="CM854" s="50"/>
      <c r="CN854" s="50"/>
      <c r="CO854" s="50"/>
      <c r="CP854" s="50"/>
      <c r="CQ854" s="50"/>
      <c r="CR854" s="50"/>
      <c r="CS854" s="50"/>
    </row>
    <row r="855" spans="1:97" ht="15" thickBot="1">
      <c r="A855" s="49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111"/>
      <c r="AJ855" s="111"/>
      <c r="AK855" s="111"/>
      <c r="AL855" s="111"/>
      <c r="AM855" s="111"/>
      <c r="AN855" s="111"/>
      <c r="AO855" s="111"/>
      <c r="AP855" s="111"/>
      <c r="AQ855" s="111"/>
      <c r="AR855" s="111"/>
      <c r="AS855" s="111"/>
      <c r="AT855" s="111"/>
      <c r="AU855" s="111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111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  <c r="CG855" s="50"/>
      <c r="CH855" s="50"/>
      <c r="CI855" s="50"/>
      <c r="CJ855" s="50"/>
      <c r="CK855" s="50"/>
      <c r="CL855" s="50"/>
      <c r="CM855" s="50"/>
      <c r="CN855" s="50"/>
      <c r="CO855" s="50"/>
      <c r="CP855" s="50"/>
      <c r="CQ855" s="50"/>
      <c r="CR855" s="50"/>
      <c r="CS855" s="50"/>
    </row>
    <row r="856" spans="1:97" ht="15" thickBot="1">
      <c r="A856" s="49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111"/>
      <c r="AJ856" s="111"/>
      <c r="AK856" s="111"/>
      <c r="AL856" s="111"/>
      <c r="AM856" s="111"/>
      <c r="AN856" s="111"/>
      <c r="AO856" s="111"/>
      <c r="AP856" s="111"/>
      <c r="AQ856" s="111"/>
      <c r="AR856" s="111"/>
      <c r="AS856" s="111"/>
      <c r="AT856" s="111"/>
      <c r="AU856" s="111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111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  <c r="CG856" s="50"/>
      <c r="CH856" s="50"/>
      <c r="CI856" s="50"/>
      <c r="CJ856" s="50"/>
      <c r="CK856" s="50"/>
      <c r="CL856" s="50"/>
      <c r="CM856" s="50"/>
      <c r="CN856" s="50"/>
      <c r="CO856" s="50"/>
      <c r="CP856" s="50"/>
      <c r="CQ856" s="50"/>
      <c r="CR856" s="50"/>
      <c r="CS856" s="50"/>
    </row>
    <row r="857" spans="1:97" ht="15" thickBot="1">
      <c r="A857" s="49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111"/>
      <c r="AO857" s="111"/>
      <c r="AP857" s="111"/>
      <c r="AQ857" s="111"/>
      <c r="AR857" s="111"/>
      <c r="AS857" s="111"/>
      <c r="AT857" s="111"/>
      <c r="AU857" s="111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111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  <c r="CG857" s="50"/>
      <c r="CH857" s="50"/>
      <c r="CI857" s="50"/>
      <c r="CJ857" s="50"/>
      <c r="CK857" s="50"/>
      <c r="CL857" s="50"/>
      <c r="CM857" s="50"/>
      <c r="CN857" s="50"/>
      <c r="CO857" s="50"/>
      <c r="CP857" s="50"/>
      <c r="CQ857" s="50"/>
      <c r="CR857" s="50"/>
      <c r="CS857" s="50"/>
    </row>
    <row r="858" spans="1:97" ht="15" thickBot="1">
      <c r="A858" s="49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111"/>
      <c r="AJ858" s="111"/>
      <c r="AK858" s="111"/>
      <c r="AL858" s="111"/>
      <c r="AM858" s="111"/>
      <c r="AN858" s="111"/>
      <c r="AO858" s="111"/>
      <c r="AP858" s="111"/>
      <c r="AQ858" s="111"/>
      <c r="AR858" s="111"/>
      <c r="AS858" s="111"/>
      <c r="AT858" s="111"/>
      <c r="AU858" s="111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111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  <c r="CG858" s="50"/>
      <c r="CH858" s="50"/>
      <c r="CI858" s="50"/>
      <c r="CJ858" s="50"/>
      <c r="CK858" s="50"/>
      <c r="CL858" s="50"/>
      <c r="CM858" s="50"/>
      <c r="CN858" s="50"/>
      <c r="CO858" s="50"/>
      <c r="CP858" s="50"/>
      <c r="CQ858" s="50"/>
      <c r="CR858" s="50"/>
      <c r="CS858" s="50"/>
    </row>
    <row r="859" spans="1:97" ht="15" thickBot="1">
      <c r="A859" s="49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111"/>
      <c r="AJ859" s="111"/>
      <c r="AK859" s="111"/>
      <c r="AL859" s="111"/>
      <c r="AM859" s="111"/>
      <c r="AN859" s="111"/>
      <c r="AO859" s="111"/>
      <c r="AP859" s="111"/>
      <c r="AQ859" s="111"/>
      <c r="AR859" s="111"/>
      <c r="AS859" s="111"/>
      <c r="AT859" s="111"/>
      <c r="AU859" s="111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111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  <c r="CG859" s="50"/>
      <c r="CH859" s="50"/>
      <c r="CI859" s="50"/>
      <c r="CJ859" s="50"/>
      <c r="CK859" s="50"/>
      <c r="CL859" s="50"/>
      <c r="CM859" s="50"/>
      <c r="CN859" s="50"/>
      <c r="CO859" s="50"/>
      <c r="CP859" s="50"/>
      <c r="CQ859" s="50"/>
      <c r="CR859" s="50"/>
      <c r="CS859" s="50"/>
    </row>
    <row r="860" spans="1:97" ht="15" thickBot="1">
      <c r="A860" s="49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111"/>
      <c r="AJ860" s="111"/>
      <c r="AK860" s="111"/>
      <c r="AL860" s="111"/>
      <c r="AM860" s="111"/>
      <c r="AN860" s="111"/>
      <c r="AO860" s="111"/>
      <c r="AP860" s="111"/>
      <c r="AQ860" s="111"/>
      <c r="AR860" s="111"/>
      <c r="AS860" s="111"/>
      <c r="AT860" s="111"/>
      <c r="AU860" s="111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111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  <c r="CG860" s="50"/>
      <c r="CH860" s="50"/>
      <c r="CI860" s="50"/>
      <c r="CJ860" s="50"/>
      <c r="CK860" s="50"/>
      <c r="CL860" s="50"/>
      <c r="CM860" s="50"/>
      <c r="CN860" s="50"/>
      <c r="CO860" s="50"/>
      <c r="CP860" s="50"/>
      <c r="CQ860" s="50"/>
      <c r="CR860" s="50"/>
      <c r="CS860" s="50"/>
    </row>
    <row r="861" spans="1:97" ht="15" thickBot="1">
      <c r="A861" s="49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1"/>
      <c r="AF861" s="111"/>
      <c r="AG861" s="111"/>
      <c r="AH861" s="111"/>
      <c r="AI861" s="111"/>
      <c r="AJ861" s="111"/>
      <c r="AK861" s="111"/>
      <c r="AL861" s="111"/>
      <c r="AM861" s="111"/>
      <c r="AN861" s="111"/>
      <c r="AO861" s="111"/>
      <c r="AP861" s="111"/>
      <c r="AQ861" s="111"/>
      <c r="AR861" s="111"/>
      <c r="AS861" s="111"/>
      <c r="AT861" s="111"/>
      <c r="AU861" s="111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111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  <c r="CG861" s="50"/>
      <c r="CH861" s="50"/>
      <c r="CI861" s="50"/>
      <c r="CJ861" s="50"/>
      <c r="CK861" s="50"/>
      <c r="CL861" s="50"/>
      <c r="CM861" s="50"/>
      <c r="CN861" s="50"/>
      <c r="CO861" s="50"/>
      <c r="CP861" s="50"/>
      <c r="CQ861" s="50"/>
      <c r="CR861" s="50"/>
      <c r="CS861" s="50"/>
    </row>
    <row r="862" spans="1:97" ht="15" thickBot="1">
      <c r="A862" s="49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11"/>
      <c r="AO862" s="111"/>
      <c r="AP862" s="111"/>
      <c r="AQ862" s="111"/>
      <c r="AR862" s="111"/>
      <c r="AS862" s="111"/>
      <c r="AT862" s="111"/>
      <c r="AU862" s="111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111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  <c r="CG862" s="50"/>
      <c r="CH862" s="50"/>
      <c r="CI862" s="50"/>
      <c r="CJ862" s="50"/>
      <c r="CK862" s="50"/>
      <c r="CL862" s="50"/>
      <c r="CM862" s="50"/>
      <c r="CN862" s="50"/>
      <c r="CO862" s="50"/>
      <c r="CP862" s="50"/>
      <c r="CQ862" s="50"/>
      <c r="CR862" s="50"/>
      <c r="CS862" s="50"/>
    </row>
    <row r="863" spans="1:97" ht="15" thickBot="1">
      <c r="A863" s="49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11"/>
      <c r="AO863" s="111"/>
      <c r="AP863" s="111"/>
      <c r="AQ863" s="111"/>
      <c r="AR863" s="111"/>
      <c r="AS863" s="111"/>
      <c r="AT863" s="111"/>
      <c r="AU863" s="111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111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  <c r="CG863" s="50"/>
      <c r="CH863" s="50"/>
      <c r="CI863" s="50"/>
      <c r="CJ863" s="50"/>
      <c r="CK863" s="50"/>
      <c r="CL863" s="50"/>
      <c r="CM863" s="50"/>
      <c r="CN863" s="50"/>
      <c r="CO863" s="50"/>
      <c r="CP863" s="50"/>
      <c r="CQ863" s="50"/>
      <c r="CR863" s="50"/>
      <c r="CS863" s="50"/>
    </row>
    <row r="864" spans="1:97" ht="15" thickBot="1">
      <c r="A864" s="49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11"/>
      <c r="AO864" s="111"/>
      <c r="AP864" s="111"/>
      <c r="AQ864" s="111"/>
      <c r="AR864" s="111"/>
      <c r="AS864" s="111"/>
      <c r="AT864" s="111"/>
      <c r="AU864" s="111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111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  <c r="CG864" s="50"/>
      <c r="CH864" s="50"/>
      <c r="CI864" s="50"/>
      <c r="CJ864" s="50"/>
      <c r="CK864" s="50"/>
      <c r="CL864" s="50"/>
      <c r="CM864" s="50"/>
      <c r="CN864" s="50"/>
      <c r="CO864" s="50"/>
      <c r="CP864" s="50"/>
      <c r="CQ864" s="50"/>
      <c r="CR864" s="50"/>
      <c r="CS864" s="50"/>
    </row>
    <row r="865" spans="1:97" ht="15" thickBot="1">
      <c r="A865" s="49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1"/>
      <c r="AF865" s="111"/>
      <c r="AG865" s="111"/>
      <c r="AH865" s="111"/>
      <c r="AI865" s="111"/>
      <c r="AJ865" s="111"/>
      <c r="AK865" s="111"/>
      <c r="AL865" s="111"/>
      <c r="AM865" s="111"/>
      <c r="AN865" s="111"/>
      <c r="AO865" s="111"/>
      <c r="AP865" s="111"/>
      <c r="AQ865" s="111"/>
      <c r="AR865" s="111"/>
      <c r="AS865" s="111"/>
      <c r="AT865" s="111"/>
      <c r="AU865" s="111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111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</row>
    <row r="866" spans="1:97" ht="15" thickBot="1">
      <c r="A866" s="49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  <c r="AF866" s="111"/>
      <c r="AG866" s="111"/>
      <c r="AH866" s="111"/>
      <c r="AI866" s="111"/>
      <c r="AJ866" s="111"/>
      <c r="AK866" s="111"/>
      <c r="AL866" s="111"/>
      <c r="AM866" s="111"/>
      <c r="AN866" s="111"/>
      <c r="AO866" s="111"/>
      <c r="AP866" s="111"/>
      <c r="AQ866" s="111"/>
      <c r="AR866" s="111"/>
      <c r="AS866" s="111"/>
      <c r="AT866" s="111"/>
      <c r="AU866" s="111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111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</row>
    <row r="867" spans="1:97" ht="15" thickBot="1">
      <c r="A867" s="49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1"/>
      <c r="AF867" s="111"/>
      <c r="AG867" s="111"/>
      <c r="AH867" s="111"/>
      <c r="AI867" s="111"/>
      <c r="AJ867" s="111"/>
      <c r="AK867" s="111"/>
      <c r="AL867" s="111"/>
      <c r="AM867" s="111"/>
      <c r="AN867" s="111"/>
      <c r="AO867" s="111"/>
      <c r="AP867" s="111"/>
      <c r="AQ867" s="111"/>
      <c r="AR867" s="111"/>
      <c r="AS867" s="111"/>
      <c r="AT867" s="111"/>
      <c r="AU867" s="111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111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</row>
    <row r="868" spans="1:97" ht="15" thickBot="1">
      <c r="A868" s="49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1"/>
      <c r="AF868" s="111"/>
      <c r="AG868" s="111"/>
      <c r="AH868" s="111"/>
      <c r="AI868" s="111"/>
      <c r="AJ868" s="111"/>
      <c r="AK868" s="111"/>
      <c r="AL868" s="111"/>
      <c r="AM868" s="111"/>
      <c r="AN868" s="111"/>
      <c r="AO868" s="111"/>
      <c r="AP868" s="111"/>
      <c r="AQ868" s="111"/>
      <c r="AR868" s="111"/>
      <c r="AS868" s="111"/>
      <c r="AT868" s="111"/>
      <c r="AU868" s="111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111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  <c r="CG868" s="50"/>
      <c r="CH868" s="50"/>
      <c r="CI868" s="50"/>
      <c r="CJ868" s="50"/>
      <c r="CK868" s="50"/>
      <c r="CL868" s="50"/>
      <c r="CM868" s="50"/>
      <c r="CN868" s="50"/>
      <c r="CO868" s="50"/>
      <c r="CP868" s="50"/>
      <c r="CQ868" s="50"/>
      <c r="CR868" s="50"/>
      <c r="CS868" s="50"/>
    </row>
    <row r="869" spans="1:97" ht="15" thickBot="1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1"/>
      <c r="AF869" s="111"/>
      <c r="AG869" s="111"/>
      <c r="AH869" s="111"/>
      <c r="AI869" s="111"/>
      <c r="AJ869" s="111"/>
      <c r="AK869" s="111"/>
      <c r="AL869" s="111"/>
      <c r="AM869" s="111"/>
      <c r="AN869" s="111"/>
      <c r="AO869" s="111"/>
      <c r="AP869" s="111"/>
      <c r="AQ869" s="111"/>
      <c r="AR869" s="111"/>
      <c r="AS869" s="111"/>
      <c r="AT869" s="111"/>
      <c r="AU869" s="111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111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  <c r="CG869" s="50"/>
      <c r="CH869" s="50"/>
      <c r="CI869" s="50"/>
      <c r="CJ869" s="50"/>
      <c r="CK869" s="50"/>
      <c r="CL869" s="50"/>
      <c r="CM869" s="50"/>
      <c r="CN869" s="50"/>
      <c r="CO869" s="50"/>
      <c r="CP869" s="50"/>
      <c r="CQ869" s="50"/>
      <c r="CR869" s="50"/>
      <c r="CS869" s="50"/>
    </row>
    <row r="870" spans="1:97" ht="15" thickBot="1">
      <c r="A870" s="49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1"/>
      <c r="AF870" s="111"/>
      <c r="AG870" s="111"/>
      <c r="AH870" s="111"/>
      <c r="AI870" s="111"/>
      <c r="AJ870" s="111"/>
      <c r="AK870" s="111"/>
      <c r="AL870" s="111"/>
      <c r="AM870" s="111"/>
      <c r="AN870" s="111"/>
      <c r="AO870" s="111"/>
      <c r="AP870" s="111"/>
      <c r="AQ870" s="111"/>
      <c r="AR870" s="111"/>
      <c r="AS870" s="111"/>
      <c r="AT870" s="111"/>
      <c r="AU870" s="111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111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  <c r="CG870" s="50"/>
      <c r="CH870" s="50"/>
      <c r="CI870" s="50"/>
      <c r="CJ870" s="50"/>
      <c r="CK870" s="50"/>
      <c r="CL870" s="50"/>
      <c r="CM870" s="50"/>
      <c r="CN870" s="50"/>
      <c r="CO870" s="50"/>
      <c r="CP870" s="50"/>
      <c r="CQ870" s="50"/>
      <c r="CR870" s="50"/>
      <c r="CS870" s="50"/>
    </row>
    <row r="871" spans="1:97" ht="15" thickBot="1">
      <c r="A871" s="49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1"/>
      <c r="AF871" s="111"/>
      <c r="AG871" s="111"/>
      <c r="AH871" s="111"/>
      <c r="AI871" s="111"/>
      <c r="AJ871" s="111"/>
      <c r="AK871" s="111"/>
      <c r="AL871" s="111"/>
      <c r="AM871" s="111"/>
      <c r="AN871" s="111"/>
      <c r="AO871" s="111"/>
      <c r="AP871" s="111"/>
      <c r="AQ871" s="111"/>
      <c r="AR871" s="111"/>
      <c r="AS871" s="111"/>
      <c r="AT871" s="111"/>
      <c r="AU871" s="111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111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  <c r="CG871" s="50"/>
      <c r="CH871" s="50"/>
      <c r="CI871" s="50"/>
      <c r="CJ871" s="50"/>
      <c r="CK871" s="50"/>
      <c r="CL871" s="50"/>
      <c r="CM871" s="50"/>
      <c r="CN871" s="50"/>
      <c r="CO871" s="50"/>
      <c r="CP871" s="50"/>
      <c r="CQ871" s="50"/>
      <c r="CR871" s="50"/>
      <c r="CS871" s="50"/>
    </row>
    <row r="872" spans="1:97" ht="15" thickBot="1">
      <c r="A872" s="49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1"/>
      <c r="AF872" s="111"/>
      <c r="AG872" s="111"/>
      <c r="AH872" s="111"/>
      <c r="AI872" s="111"/>
      <c r="AJ872" s="111"/>
      <c r="AK872" s="111"/>
      <c r="AL872" s="111"/>
      <c r="AM872" s="111"/>
      <c r="AN872" s="111"/>
      <c r="AO872" s="111"/>
      <c r="AP872" s="111"/>
      <c r="AQ872" s="111"/>
      <c r="AR872" s="111"/>
      <c r="AS872" s="111"/>
      <c r="AT872" s="111"/>
      <c r="AU872" s="111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111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  <c r="CG872" s="50"/>
      <c r="CH872" s="50"/>
      <c r="CI872" s="50"/>
      <c r="CJ872" s="50"/>
      <c r="CK872" s="50"/>
      <c r="CL872" s="50"/>
      <c r="CM872" s="50"/>
      <c r="CN872" s="50"/>
      <c r="CO872" s="50"/>
      <c r="CP872" s="50"/>
      <c r="CQ872" s="50"/>
      <c r="CR872" s="50"/>
      <c r="CS872" s="50"/>
    </row>
    <row r="873" spans="1:97" ht="15" thickBot="1">
      <c r="A873" s="49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  <c r="AN873" s="111"/>
      <c r="AO873" s="111"/>
      <c r="AP873" s="111"/>
      <c r="AQ873" s="111"/>
      <c r="AR873" s="111"/>
      <c r="AS873" s="111"/>
      <c r="AT873" s="111"/>
      <c r="AU873" s="111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111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  <c r="CG873" s="50"/>
      <c r="CH873" s="50"/>
      <c r="CI873" s="50"/>
      <c r="CJ873" s="50"/>
      <c r="CK873" s="50"/>
      <c r="CL873" s="50"/>
      <c r="CM873" s="50"/>
      <c r="CN873" s="50"/>
      <c r="CO873" s="50"/>
      <c r="CP873" s="50"/>
      <c r="CQ873" s="50"/>
      <c r="CR873" s="50"/>
      <c r="CS873" s="50"/>
    </row>
    <row r="874" spans="1:97" ht="15" thickBot="1">
      <c r="A874" s="49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1"/>
      <c r="AF874" s="111"/>
      <c r="AG874" s="111"/>
      <c r="AH874" s="111"/>
      <c r="AI874" s="111"/>
      <c r="AJ874" s="111"/>
      <c r="AK874" s="111"/>
      <c r="AL874" s="111"/>
      <c r="AM874" s="111"/>
      <c r="AN874" s="111"/>
      <c r="AO874" s="111"/>
      <c r="AP874" s="111"/>
      <c r="AQ874" s="111"/>
      <c r="AR874" s="111"/>
      <c r="AS874" s="111"/>
      <c r="AT874" s="111"/>
      <c r="AU874" s="111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111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  <c r="CG874" s="50"/>
      <c r="CH874" s="50"/>
      <c r="CI874" s="50"/>
      <c r="CJ874" s="50"/>
      <c r="CK874" s="50"/>
      <c r="CL874" s="50"/>
      <c r="CM874" s="50"/>
      <c r="CN874" s="50"/>
      <c r="CO874" s="50"/>
      <c r="CP874" s="50"/>
      <c r="CQ874" s="50"/>
      <c r="CR874" s="50"/>
      <c r="CS874" s="50"/>
    </row>
    <row r="875" spans="1:97" ht="15" thickBot="1">
      <c r="A875" s="49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111"/>
      <c r="AJ875" s="111"/>
      <c r="AK875" s="111"/>
      <c r="AL875" s="111"/>
      <c r="AM875" s="111"/>
      <c r="AN875" s="111"/>
      <c r="AO875" s="111"/>
      <c r="AP875" s="111"/>
      <c r="AQ875" s="111"/>
      <c r="AR875" s="111"/>
      <c r="AS875" s="111"/>
      <c r="AT875" s="111"/>
      <c r="AU875" s="111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111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  <c r="CG875" s="50"/>
      <c r="CH875" s="50"/>
      <c r="CI875" s="50"/>
      <c r="CJ875" s="50"/>
      <c r="CK875" s="50"/>
      <c r="CL875" s="50"/>
      <c r="CM875" s="50"/>
      <c r="CN875" s="50"/>
      <c r="CO875" s="50"/>
      <c r="CP875" s="50"/>
      <c r="CQ875" s="50"/>
      <c r="CR875" s="50"/>
      <c r="CS875" s="50"/>
    </row>
    <row r="876" spans="1:97" ht="15" thickBot="1">
      <c r="A876" s="49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111"/>
      <c r="AJ876" s="111"/>
      <c r="AK876" s="111"/>
      <c r="AL876" s="111"/>
      <c r="AM876" s="111"/>
      <c r="AN876" s="111"/>
      <c r="AO876" s="111"/>
      <c r="AP876" s="111"/>
      <c r="AQ876" s="111"/>
      <c r="AR876" s="111"/>
      <c r="AS876" s="111"/>
      <c r="AT876" s="111"/>
      <c r="AU876" s="111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111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  <c r="CG876" s="50"/>
      <c r="CH876" s="50"/>
      <c r="CI876" s="50"/>
      <c r="CJ876" s="50"/>
      <c r="CK876" s="50"/>
      <c r="CL876" s="50"/>
      <c r="CM876" s="50"/>
      <c r="CN876" s="50"/>
      <c r="CO876" s="50"/>
      <c r="CP876" s="50"/>
      <c r="CQ876" s="50"/>
      <c r="CR876" s="50"/>
      <c r="CS876" s="50"/>
    </row>
    <row r="877" spans="1:97" ht="15" thickBot="1">
      <c r="A877" s="49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111"/>
      <c r="AJ877" s="111"/>
      <c r="AK877" s="111"/>
      <c r="AL877" s="111"/>
      <c r="AM877" s="111"/>
      <c r="AN877" s="111"/>
      <c r="AO877" s="111"/>
      <c r="AP877" s="111"/>
      <c r="AQ877" s="111"/>
      <c r="AR877" s="111"/>
      <c r="AS877" s="111"/>
      <c r="AT877" s="111"/>
      <c r="AU877" s="111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111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  <c r="CG877" s="50"/>
      <c r="CH877" s="50"/>
      <c r="CI877" s="50"/>
      <c r="CJ877" s="50"/>
      <c r="CK877" s="50"/>
      <c r="CL877" s="50"/>
      <c r="CM877" s="50"/>
      <c r="CN877" s="50"/>
      <c r="CO877" s="50"/>
      <c r="CP877" s="50"/>
      <c r="CQ877" s="50"/>
      <c r="CR877" s="50"/>
      <c r="CS877" s="50"/>
    </row>
    <row r="878" spans="1:97" ht="15" thickBot="1">
      <c r="A878" s="49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111"/>
      <c r="AJ878" s="111"/>
      <c r="AK878" s="111"/>
      <c r="AL878" s="111"/>
      <c r="AM878" s="111"/>
      <c r="AN878" s="111"/>
      <c r="AO878" s="111"/>
      <c r="AP878" s="111"/>
      <c r="AQ878" s="111"/>
      <c r="AR878" s="111"/>
      <c r="AS878" s="111"/>
      <c r="AT878" s="111"/>
      <c r="AU878" s="111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111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  <c r="CG878" s="50"/>
      <c r="CH878" s="50"/>
      <c r="CI878" s="50"/>
      <c r="CJ878" s="50"/>
      <c r="CK878" s="50"/>
      <c r="CL878" s="50"/>
      <c r="CM878" s="50"/>
      <c r="CN878" s="50"/>
      <c r="CO878" s="50"/>
      <c r="CP878" s="50"/>
      <c r="CQ878" s="50"/>
      <c r="CR878" s="50"/>
      <c r="CS878" s="50"/>
    </row>
    <row r="879" spans="1:97" ht="15" thickBot="1">
      <c r="A879" s="49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111"/>
      <c r="AJ879" s="111"/>
      <c r="AK879" s="111"/>
      <c r="AL879" s="111"/>
      <c r="AM879" s="111"/>
      <c r="AN879" s="111"/>
      <c r="AO879" s="111"/>
      <c r="AP879" s="111"/>
      <c r="AQ879" s="111"/>
      <c r="AR879" s="111"/>
      <c r="AS879" s="111"/>
      <c r="AT879" s="111"/>
      <c r="AU879" s="111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111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  <c r="CG879" s="50"/>
      <c r="CH879" s="50"/>
      <c r="CI879" s="50"/>
      <c r="CJ879" s="50"/>
      <c r="CK879" s="50"/>
      <c r="CL879" s="50"/>
      <c r="CM879" s="50"/>
      <c r="CN879" s="50"/>
      <c r="CO879" s="50"/>
      <c r="CP879" s="50"/>
      <c r="CQ879" s="50"/>
      <c r="CR879" s="50"/>
      <c r="CS879" s="50"/>
    </row>
    <row r="880" spans="1:97" ht="15" thickBot="1">
      <c r="A880" s="49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111"/>
      <c r="AJ880" s="111"/>
      <c r="AK880" s="111"/>
      <c r="AL880" s="111"/>
      <c r="AM880" s="111"/>
      <c r="AN880" s="111"/>
      <c r="AO880" s="111"/>
      <c r="AP880" s="111"/>
      <c r="AQ880" s="111"/>
      <c r="AR880" s="111"/>
      <c r="AS880" s="111"/>
      <c r="AT880" s="111"/>
      <c r="AU880" s="111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111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  <c r="CG880" s="50"/>
      <c r="CH880" s="50"/>
      <c r="CI880" s="50"/>
      <c r="CJ880" s="50"/>
      <c r="CK880" s="50"/>
      <c r="CL880" s="50"/>
      <c r="CM880" s="50"/>
      <c r="CN880" s="50"/>
      <c r="CO880" s="50"/>
      <c r="CP880" s="50"/>
      <c r="CQ880" s="50"/>
      <c r="CR880" s="50"/>
      <c r="CS880" s="50"/>
    </row>
    <row r="881" spans="1:97" ht="15" thickBot="1">
      <c r="A881" s="49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111"/>
      <c r="AJ881" s="111"/>
      <c r="AK881" s="111"/>
      <c r="AL881" s="111"/>
      <c r="AM881" s="111"/>
      <c r="AN881" s="111"/>
      <c r="AO881" s="111"/>
      <c r="AP881" s="111"/>
      <c r="AQ881" s="111"/>
      <c r="AR881" s="111"/>
      <c r="AS881" s="111"/>
      <c r="AT881" s="111"/>
      <c r="AU881" s="111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111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  <c r="CG881" s="50"/>
      <c r="CH881" s="50"/>
      <c r="CI881" s="50"/>
      <c r="CJ881" s="50"/>
      <c r="CK881" s="50"/>
      <c r="CL881" s="50"/>
      <c r="CM881" s="50"/>
      <c r="CN881" s="50"/>
      <c r="CO881" s="50"/>
      <c r="CP881" s="50"/>
      <c r="CQ881" s="50"/>
      <c r="CR881" s="50"/>
      <c r="CS881" s="50"/>
    </row>
    <row r="882" spans="1:97" ht="15" thickBot="1">
      <c r="A882" s="49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111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  <c r="CG882" s="50"/>
      <c r="CH882" s="50"/>
      <c r="CI882" s="50"/>
      <c r="CJ882" s="50"/>
      <c r="CK882" s="50"/>
      <c r="CL882" s="50"/>
      <c r="CM882" s="50"/>
      <c r="CN882" s="50"/>
      <c r="CO882" s="50"/>
      <c r="CP882" s="50"/>
      <c r="CQ882" s="50"/>
      <c r="CR882" s="50"/>
      <c r="CS882" s="50"/>
    </row>
    <row r="883" spans="1:97" ht="15" thickBot="1">
      <c r="A883" s="49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111"/>
      <c r="AJ883" s="111"/>
      <c r="AK883" s="111"/>
      <c r="AL883" s="111"/>
      <c r="AM883" s="111"/>
      <c r="AN883" s="111"/>
      <c r="AO883" s="111"/>
      <c r="AP883" s="111"/>
      <c r="AQ883" s="111"/>
      <c r="AR883" s="111"/>
      <c r="AS883" s="111"/>
      <c r="AT883" s="111"/>
      <c r="AU883" s="111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111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  <c r="CG883" s="50"/>
      <c r="CH883" s="50"/>
      <c r="CI883" s="50"/>
      <c r="CJ883" s="50"/>
      <c r="CK883" s="50"/>
      <c r="CL883" s="50"/>
      <c r="CM883" s="50"/>
      <c r="CN883" s="50"/>
      <c r="CO883" s="50"/>
      <c r="CP883" s="50"/>
      <c r="CQ883" s="50"/>
      <c r="CR883" s="50"/>
      <c r="CS883" s="50"/>
    </row>
    <row r="884" spans="1:97" ht="15" thickBot="1">
      <c r="A884" s="49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111"/>
      <c r="AJ884" s="111"/>
      <c r="AK884" s="111"/>
      <c r="AL884" s="111"/>
      <c r="AM884" s="111"/>
      <c r="AN884" s="111"/>
      <c r="AO884" s="111"/>
      <c r="AP884" s="111"/>
      <c r="AQ884" s="111"/>
      <c r="AR884" s="111"/>
      <c r="AS884" s="111"/>
      <c r="AT884" s="111"/>
      <c r="AU884" s="111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111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  <c r="CG884" s="50"/>
      <c r="CH884" s="50"/>
      <c r="CI884" s="50"/>
      <c r="CJ884" s="50"/>
      <c r="CK884" s="50"/>
      <c r="CL884" s="50"/>
      <c r="CM884" s="50"/>
      <c r="CN884" s="50"/>
      <c r="CO884" s="50"/>
      <c r="CP884" s="50"/>
      <c r="CQ884" s="50"/>
      <c r="CR884" s="50"/>
      <c r="CS884" s="50"/>
    </row>
    <row r="885" spans="1:97" ht="15" thickBot="1">
      <c r="A885" s="49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111"/>
      <c r="AJ885" s="111"/>
      <c r="AK885" s="111"/>
      <c r="AL885" s="111"/>
      <c r="AM885" s="111"/>
      <c r="AN885" s="111"/>
      <c r="AO885" s="111"/>
      <c r="AP885" s="111"/>
      <c r="AQ885" s="111"/>
      <c r="AR885" s="111"/>
      <c r="AS885" s="111"/>
      <c r="AT885" s="111"/>
      <c r="AU885" s="111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111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  <c r="CG885" s="50"/>
      <c r="CH885" s="50"/>
      <c r="CI885" s="50"/>
      <c r="CJ885" s="50"/>
      <c r="CK885" s="50"/>
      <c r="CL885" s="50"/>
      <c r="CM885" s="50"/>
      <c r="CN885" s="50"/>
      <c r="CO885" s="50"/>
      <c r="CP885" s="50"/>
      <c r="CQ885" s="50"/>
      <c r="CR885" s="50"/>
      <c r="CS885" s="50"/>
    </row>
    <row r="886" spans="1:97" ht="15" thickBot="1">
      <c r="A886" s="49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111"/>
      <c r="AJ886" s="111"/>
      <c r="AK886" s="111"/>
      <c r="AL886" s="111"/>
      <c r="AM886" s="111"/>
      <c r="AN886" s="111"/>
      <c r="AO886" s="111"/>
      <c r="AP886" s="111"/>
      <c r="AQ886" s="111"/>
      <c r="AR886" s="111"/>
      <c r="AS886" s="111"/>
      <c r="AT886" s="111"/>
      <c r="AU886" s="111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111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  <c r="CG886" s="50"/>
      <c r="CH886" s="50"/>
      <c r="CI886" s="50"/>
      <c r="CJ886" s="50"/>
      <c r="CK886" s="50"/>
      <c r="CL886" s="50"/>
      <c r="CM886" s="50"/>
      <c r="CN886" s="50"/>
      <c r="CO886" s="50"/>
      <c r="CP886" s="50"/>
      <c r="CQ886" s="50"/>
      <c r="CR886" s="50"/>
      <c r="CS886" s="50"/>
    </row>
    <row r="887" spans="1:97" ht="15" thickBot="1">
      <c r="A887" s="49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111"/>
      <c r="AJ887" s="111"/>
      <c r="AK887" s="111"/>
      <c r="AL887" s="111"/>
      <c r="AM887" s="111"/>
      <c r="AN887" s="111"/>
      <c r="AO887" s="111"/>
      <c r="AP887" s="111"/>
      <c r="AQ887" s="111"/>
      <c r="AR887" s="111"/>
      <c r="AS887" s="111"/>
      <c r="AT887" s="111"/>
      <c r="AU887" s="111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111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  <c r="CG887" s="50"/>
      <c r="CH887" s="50"/>
      <c r="CI887" s="50"/>
      <c r="CJ887" s="50"/>
      <c r="CK887" s="50"/>
      <c r="CL887" s="50"/>
      <c r="CM887" s="50"/>
      <c r="CN887" s="50"/>
      <c r="CO887" s="50"/>
      <c r="CP887" s="50"/>
      <c r="CQ887" s="50"/>
      <c r="CR887" s="50"/>
      <c r="CS887" s="50"/>
    </row>
    <row r="888" spans="1:97" ht="15" thickBot="1">
      <c r="A888" s="49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111"/>
      <c r="AJ888" s="111"/>
      <c r="AK888" s="111"/>
      <c r="AL888" s="111"/>
      <c r="AM888" s="111"/>
      <c r="AN888" s="111"/>
      <c r="AO888" s="111"/>
      <c r="AP888" s="111"/>
      <c r="AQ888" s="111"/>
      <c r="AR888" s="111"/>
      <c r="AS888" s="111"/>
      <c r="AT888" s="111"/>
      <c r="AU888" s="111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111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  <c r="CG888" s="50"/>
      <c r="CH888" s="50"/>
      <c r="CI888" s="50"/>
      <c r="CJ888" s="50"/>
      <c r="CK888" s="50"/>
      <c r="CL888" s="50"/>
      <c r="CM888" s="50"/>
      <c r="CN888" s="50"/>
      <c r="CO888" s="50"/>
      <c r="CP888" s="50"/>
      <c r="CQ888" s="50"/>
      <c r="CR888" s="50"/>
      <c r="CS888" s="50"/>
    </row>
    <row r="889" spans="1:97" ht="15" thickBot="1">
      <c r="A889" s="49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111"/>
      <c r="AJ889" s="111"/>
      <c r="AK889" s="111"/>
      <c r="AL889" s="111"/>
      <c r="AM889" s="111"/>
      <c r="AN889" s="111"/>
      <c r="AO889" s="111"/>
      <c r="AP889" s="111"/>
      <c r="AQ889" s="111"/>
      <c r="AR889" s="111"/>
      <c r="AS889" s="111"/>
      <c r="AT889" s="111"/>
      <c r="AU889" s="111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111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  <c r="CG889" s="50"/>
      <c r="CH889" s="50"/>
      <c r="CI889" s="50"/>
      <c r="CJ889" s="50"/>
      <c r="CK889" s="50"/>
      <c r="CL889" s="50"/>
      <c r="CM889" s="50"/>
      <c r="CN889" s="50"/>
      <c r="CO889" s="50"/>
      <c r="CP889" s="50"/>
      <c r="CQ889" s="50"/>
      <c r="CR889" s="50"/>
      <c r="CS889" s="50"/>
    </row>
    <row r="890" spans="1:97" ht="15" thickBot="1">
      <c r="A890" s="49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  <c r="AN890" s="111"/>
      <c r="AO890" s="111"/>
      <c r="AP890" s="111"/>
      <c r="AQ890" s="111"/>
      <c r="AR890" s="111"/>
      <c r="AS890" s="111"/>
      <c r="AT890" s="111"/>
      <c r="AU890" s="111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111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  <c r="CG890" s="50"/>
      <c r="CH890" s="50"/>
      <c r="CI890" s="50"/>
      <c r="CJ890" s="50"/>
      <c r="CK890" s="50"/>
      <c r="CL890" s="50"/>
      <c r="CM890" s="50"/>
      <c r="CN890" s="50"/>
      <c r="CO890" s="50"/>
      <c r="CP890" s="50"/>
      <c r="CQ890" s="50"/>
      <c r="CR890" s="50"/>
      <c r="CS890" s="50"/>
    </row>
    <row r="891" spans="1:97" ht="15" thickBot="1">
      <c r="A891" s="49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111"/>
      <c r="AJ891" s="111"/>
      <c r="AK891" s="111"/>
      <c r="AL891" s="111"/>
      <c r="AM891" s="111"/>
      <c r="AN891" s="111"/>
      <c r="AO891" s="111"/>
      <c r="AP891" s="111"/>
      <c r="AQ891" s="111"/>
      <c r="AR891" s="111"/>
      <c r="AS891" s="111"/>
      <c r="AT891" s="111"/>
      <c r="AU891" s="111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111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  <c r="CG891" s="50"/>
      <c r="CH891" s="50"/>
      <c r="CI891" s="50"/>
      <c r="CJ891" s="50"/>
      <c r="CK891" s="50"/>
      <c r="CL891" s="50"/>
      <c r="CM891" s="50"/>
      <c r="CN891" s="50"/>
      <c r="CO891" s="50"/>
      <c r="CP891" s="50"/>
      <c r="CQ891" s="50"/>
      <c r="CR891" s="50"/>
      <c r="CS891" s="50"/>
    </row>
    <row r="892" spans="1:97" ht="15" thickBot="1">
      <c r="A892" s="49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111"/>
      <c r="AJ892" s="111"/>
      <c r="AK892" s="111"/>
      <c r="AL892" s="111"/>
      <c r="AM892" s="111"/>
      <c r="AN892" s="111"/>
      <c r="AO892" s="111"/>
      <c r="AP892" s="111"/>
      <c r="AQ892" s="111"/>
      <c r="AR892" s="111"/>
      <c r="AS892" s="111"/>
      <c r="AT892" s="111"/>
      <c r="AU892" s="111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111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  <c r="CG892" s="50"/>
      <c r="CH892" s="50"/>
      <c r="CI892" s="50"/>
      <c r="CJ892" s="50"/>
      <c r="CK892" s="50"/>
      <c r="CL892" s="50"/>
      <c r="CM892" s="50"/>
      <c r="CN892" s="50"/>
      <c r="CO892" s="50"/>
      <c r="CP892" s="50"/>
      <c r="CQ892" s="50"/>
      <c r="CR892" s="50"/>
      <c r="CS892" s="50"/>
    </row>
    <row r="893" spans="1:97" ht="15" thickBot="1">
      <c r="A893" s="49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111"/>
      <c r="AJ893" s="111"/>
      <c r="AK893" s="111"/>
      <c r="AL893" s="111"/>
      <c r="AM893" s="111"/>
      <c r="AN893" s="111"/>
      <c r="AO893" s="111"/>
      <c r="AP893" s="111"/>
      <c r="AQ893" s="111"/>
      <c r="AR893" s="111"/>
      <c r="AS893" s="111"/>
      <c r="AT893" s="111"/>
      <c r="AU893" s="111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  <c r="BQ893" s="50"/>
      <c r="BR893" s="50"/>
      <c r="BS893" s="111"/>
      <c r="BT893" s="50"/>
      <c r="BU893" s="50"/>
      <c r="BV893" s="50"/>
      <c r="BW893" s="50"/>
      <c r="BX893" s="50"/>
      <c r="BY893" s="50"/>
      <c r="BZ893" s="50"/>
      <c r="CA893" s="50"/>
      <c r="CB893" s="50"/>
      <c r="CC893" s="50"/>
      <c r="CD893" s="50"/>
      <c r="CE893" s="50"/>
      <c r="CF893" s="50"/>
      <c r="CG893" s="50"/>
      <c r="CH893" s="50"/>
      <c r="CI893" s="50"/>
      <c r="CJ893" s="50"/>
      <c r="CK893" s="50"/>
      <c r="CL893" s="50"/>
      <c r="CM893" s="50"/>
      <c r="CN893" s="50"/>
      <c r="CO893" s="50"/>
      <c r="CP893" s="50"/>
      <c r="CQ893" s="50"/>
      <c r="CR893" s="50"/>
      <c r="CS893" s="50"/>
    </row>
    <row r="894" spans="1:97" ht="15" thickBot="1">
      <c r="A894" s="49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111"/>
      <c r="AJ894" s="111"/>
      <c r="AK894" s="111"/>
      <c r="AL894" s="111"/>
      <c r="AM894" s="111"/>
      <c r="AN894" s="111"/>
      <c r="AO894" s="111"/>
      <c r="AP894" s="111"/>
      <c r="AQ894" s="111"/>
      <c r="AR894" s="111"/>
      <c r="AS894" s="111"/>
      <c r="AT894" s="111"/>
      <c r="AU894" s="111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111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  <c r="CG894" s="50"/>
      <c r="CH894" s="50"/>
      <c r="CI894" s="50"/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</row>
    <row r="895" spans="1:97" ht="15" thickBot="1">
      <c r="A895" s="49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111"/>
      <c r="AJ895" s="111"/>
      <c r="AK895" s="111"/>
      <c r="AL895" s="111"/>
      <c r="AM895" s="111"/>
      <c r="AN895" s="111"/>
      <c r="AO895" s="111"/>
      <c r="AP895" s="111"/>
      <c r="AQ895" s="111"/>
      <c r="AR895" s="111"/>
      <c r="AS895" s="111"/>
      <c r="AT895" s="111"/>
      <c r="AU895" s="111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111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  <c r="CG895" s="50"/>
      <c r="CH895" s="50"/>
      <c r="CI895" s="50"/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</row>
    <row r="896" spans="1:97" ht="15" thickBot="1">
      <c r="A896" s="49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111"/>
      <c r="AJ896" s="111"/>
      <c r="AK896" s="111"/>
      <c r="AL896" s="111"/>
      <c r="AM896" s="111"/>
      <c r="AN896" s="111"/>
      <c r="AO896" s="111"/>
      <c r="AP896" s="111"/>
      <c r="AQ896" s="111"/>
      <c r="AR896" s="111"/>
      <c r="AS896" s="111"/>
      <c r="AT896" s="111"/>
      <c r="AU896" s="111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111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  <c r="CG896" s="50"/>
      <c r="CH896" s="50"/>
      <c r="CI896" s="50"/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</row>
    <row r="897" spans="1:97" ht="15" thickBot="1">
      <c r="A897" s="49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111"/>
      <c r="AJ897" s="111"/>
      <c r="AK897" s="111"/>
      <c r="AL897" s="111"/>
      <c r="AM897" s="111"/>
      <c r="AN897" s="111"/>
      <c r="AO897" s="111"/>
      <c r="AP897" s="111"/>
      <c r="AQ897" s="111"/>
      <c r="AR897" s="111"/>
      <c r="AS897" s="111"/>
      <c r="AT897" s="111"/>
      <c r="AU897" s="111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  <c r="BQ897" s="50"/>
      <c r="BR897" s="50"/>
      <c r="BS897" s="111"/>
      <c r="BT897" s="50"/>
      <c r="BU897" s="50"/>
      <c r="BV897" s="50"/>
      <c r="BW897" s="50"/>
      <c r="BX897" s="50"/>
      <c r="BY897" s="50"/>
      <c r="BZ897" s="50"/>
      <c r="CA897" s="50"/>
      <c r="CB897" s="50"/>
      <c r="CC897" s="50"/>
      <c r="CD897" s="50"/>
      <c r="CE897" s="50"/>
      <c r="CF897" s="50"/>
      <c r="CG897" s="50"/>
      <c r="CH897" s="50"/>
      <c r="CI897" s="50"/>
      <c r="CJ897" s="50"/>
      <c r="CK897" s="50"/>
      <c r="CL897" s="50"/>
      <c r="CM897" s="50"/>
      <c r="CN897" s="50"/>
      <c r="CO897" s="50"/>
      <c r="CP897" s="50"/>
      <c r="CQ897" s="50"/>
      <c r="CR897" s="50"/>
      <c r="CS897" s="50"/>
    </row>
    <row r="898" spans="1:97" ht="15" thickBot="1">
      <c r="A898" s="49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111"/>
      <c r="AJ898" s="111"/>
      <c r="AK898" s="111"/>
      <c r="AL898" s="111"/>
      <c r="AM898" s="111"/>
      <c r="AN898" s="111"/>
      <c r="AO898" s="111"/>
      <c r="AP898" s="111"/>
      <c r="AQ898" s="111"/>
      <c r="AR898" s="111"/>
      <c r="AS898" s="111"/>
      <c r="AT898" s="111"/>
      <c r="AU898" s="111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  <c r="BQ898" s="50"/>
      <c r="BR898" s="50"/>
      <c r="BS898" s="111"/>
      <c r="BT898" s="50"/>
      <c r="BU898" s="50"/>
      <c r="BV898" s="50"/>
      <c r="BW898" s="50"/>
      <c r="BX898" s="50"/>
      <c r="BY898" s="50"/>
      <c r="BZ898" s="50"/>
      <c r="CA898" s="50"/>
      <c r="CB898" s="50"/>
      <c r="CC898" s="50"/>
      <c r="CD898" s="50"/>
      <c r="CE898" s="50"/>
      <c r="CF898" s="50"/>
      <c r="CG898" s="50"/>
      <c r="CH898" s="50"/>
      <c r="CI898" s="50"/>
      <c r="CJ898" s="50"/>
      <c r="CK898" s="50"/>
      <c r="CL898" s="50"/>
      <c r="CM898" s="50"/>
      <c r="CN898" s="50"/>
      <c r="CO898" s="50"/>
      <c r="CP898" s="50"/>
      <c r="CQ898" s="50"/>
      <c r="CR898" s="50"/>
      <c r="CS898" s="50"/>
    </row>
    <row r="899" spans="1:97" ht="15" thickBot="1">
      <c r="A899" s="49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111"/>
      <c r="AJ899" s="111"/>
      <c r="AK899" s="111"/>
      <c r="AL899" s="111"/>
      <c r="AM899" s="111"/>
      <c r="AN899" s="111"/>
      <c r="AO899" s="111"/>
      <c r="AP899" s="111"/>
      <c r="AQ899" s="111"/>
      <c r="AR899" s="111"/>
      <c r="AS899" s="111"/>
      <c r="AT899" s="111"/>
      <c r="AU899" s="111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  <c r="BQ899" s="50"/>
      <c r="BR899" s="50"/>
      <c r="BS899" s="111"/>
      <c r="BT899" s="50"/>
      <c r="BU899" s="50"/>
      <c r="BV899" s="50"/>
      <c r="BW899" s="50"/>
      <c r="BX899" s="50"/>
      <c r="BY899" s="50"/>
      <c r="BZ899" s="50"/>
      <c r="CA899" s="50"/>
      <c r="CB899" s="50"/>
      <c r="CC899" s="50"/>
      <c r="CD899" s="50"/>
      <c r="CE899" s="50"/>
      <c r="CF899" s="50"/>
      <c r="CG899" s="50"/>
      <c r="CH899" s="50"/>
      <c r="CI899" s="50"/>
      <c r="CJ899" s="50"/>
      <c r="CK899" s="50"/>
      <c r="CL899" s="50"/>
      <c r="CM899" s="50"/>
      <c r="CN899" s="50"/>
      <c r="CO899" s="50"/>
      <c r="CP899" s="50"/>
      <c r="CQ899" s="50"/>
      <c r="CR899" s="50"/>
      <c r="CS899" s="50"/>
    </row>
    <row r="900" spans="1:97" ht="15" thickBot="1">
      <c r="A900" s="49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111"/>
      <c r="AJ900" s="111"/>
      <c r="AK900" s="111"/>
      <c r="AL900" s="111"/>
      <c r="AM900" s="111"/>
      <c r="AN900" s="111"/>
      <c r="AO900" s="111"/>
      <c r="AP900" s="111"/>
      <c r="AQ900" s="111"/>
      <c r="AR900" s="111"/>
      <c r="AS900" s="111"/>
      <c r="AT900" s="111"/>
      <c r="AU900" s="111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  <c r="BQ900" s="50"/>
      <c r="BR900" s="50"/>
      <c r="BS900" s="111"/>
      <c r="BT900" s="50"/>
      <c r="BU900" s="50"/>
      <c r="BV900" s="50"/>
      <c r="BW900" s="50"/>
      <c r="BX900" s="50"/>
      <c r="BY900" s="50"/>
      <c r="BZ900" s="50"/>
      <c r="CA900" s="50"/>
      <c r="CB900" s="50"/>
      <c r="CC900" s="50"/>
      <c r="CD900" s="50"/>
      <c r="CE900" s="50"/>
      <c r="CF900" s="50"/>
      <c r="CG900" s="50"/>
      <c r="CH900" s="50"/>
      <c r="CI900" s="50"/>
      <c r="CJ900" s="50"/>
      <c r="CK900" s="50"/>
      <c r="CL900" s="50"/>
      <c r="CM900" s="50"/>
      <c r="CN900" s="50"/>
      <c r="CO900" s="50"/>
      <c r="CP900" s="50"/>
      <c r="CQ900" s="50"/>
      <c r="CR900" s="50"/>
      <c r="CS900" s="50"/>
    </row>
    <row r="901" spans="1:97" ht="15" thickBot="1">
      <c r="A901" s="49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111"/>
      <c r="AJ901" s="111"/>
      <c r="AK901" s="111"/>
      <c r="AL901" s="111"/>
      <c r="AM901" s="111"/>
      <c r="AN901" s="111"/>
      <c r="AO901" s="111"/>
      <c r="AP901" s="111"/>
      <c r="AQ901" s="111"/>
      <c r="AR901" s="111"/>
      <c r="AS901" s="111"/>
      <c r="AT901" s="111"/>
      <c r="AU901" s="111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  <c r="BQ901" s="50"/>
      <c r="BR901" s="50"/>
      <c r="BS901" s="111"/>
      <c r="BT901" s="50"/>
      <c r="BU901" s="50"/>
      <c r="BV901" s="50"/>
      <c r="BW901" s="50"/>
      <c r="BX901" s="50"/>
      <c r="BY901" s="50"/>
      <c r="BZ901" s="50"/>
      <c r="CA901" s="50"/>
      <c r="CB901" s="50"/>
      <c r="CC901" s="50"/>
      <c r="CD901" s="50"/>
      <c r="CE901" s="50"/>
      <c r="CF901" s="50"/>
      <c r="CG901" s="50"/>
      <c r="CH901" s="50"/>
      <c r="CI901" s="50"/>
      <c r="CJ901" s="50"/>
      <c r="CK901" s="50"/>
      <c r="CL901" s="50"/>
      <c r="CM901" s="50"/>
      <c r="CN901" s="50"/>
      <c r="CO901" s="50"/>
      <c r="CP901" s="50"/>
      <c r="CQ901" s="50"/>
      <c r="CR901" s="50"/>
      <c r="CS901" s="50"/>
    </row>
    <row r="902" spans="1:97" ht="15" thickBot="1">
      <c r="A902" s="49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111"/>
      <c r="AJ902" s="111"/>
      <c r="AK902" s="111"/>
      <c r="AL902" s="111"/>
      <c r="AM902" s="111"/>
      <c r="AN902" s="111"/>
      <c r="AO902" s="111"/>
      <c r="AP902" s="111"/>
      <c r="AQ902" s="111"/>
      <c r="AR902" s="111"/>
      <c r="AS902" s="111"/>
      <c r="AT902" s="111"/>
      <c r="AU902" s="111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  <c r="BQ902" s="50"/>
      <c r="BR902" s="50"/>
      <c r="BS902" s="111"/>
      <c r="BT902" s="50"/>
      <c r="BU902" s="50"/>
      <c r="BV902" s="50"/>
      <c r="BW902" s="50"/>
      <c r="BX902" s="50"/>
      <c r="BY902" s="50"/>
      <c r="BZ902" s="50"/>
      <c r="CA902" s="50"/>
      <c r="CB902" s="50"/>
      <c r="CC902" s="50"/>
      <c r="CD902" s="50"/>
      <c r="CE902" s="50"/>
      <c r="CF902" s="50"/>
      <c r="CG902" s="50"/>
      <c r="CH902" s="50"/>
      <c r="CI902" s="50"/>
      <c r="CJ902" s="50"/>
      <c r="CK902" s="50"/>
      <c r="CL902" s="50"/>
      <c r="CM902" s="50"/>
      <c r="CN902" s="50"/>
      <c r="CO902" s="50"/>
      <c r="CP902" s="50"/>
      <c r="CQ902" s="50"/>
      <c r="CR902" s="50"/>
      <c r="CS902" s="50"/>
    </row>
    <row r="903" spans="1:97" ht="15" thickBot="1">
      <c r="A903" s="49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111"/>
      <c r="AJ903" s="111"/>
      <c r="AK903" s="111"/>
      <c r="AL903" s="111"/>
      <c r="AM903" s="111"/>
      <c r="AN903" s="111"/>
      <c r="AO903" s="111"/>
      <c r="AP903" s="111"/>
      <c r="AQ903" s="111"/>
      <c r="AR903" s="111"/>
      <c r="AS903" s="111"/>
      <c r="AT903" s="111"/>
      <c r="AU903" s="111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  <c r="BQ903" s="50"/>
      <c r="BR903" s="50"/>
      <c r="BS903" s="111"/>
      <c r="BT903" s="50"/>
      <c r="BU903" s="50"/>
      <c r="BV903" s="50"/>
      <c r="BW903" s="50"/>
      <c r="BX903" s="50"/>
      <c r="BY903" s="50"/>
      <c r="BZ903" s="50"/>
      <c r="CA903" s="50"/>
      <c r="CB903" s="50"/>
      <c r="CC903" s="50"/>
      <c r="CD903" s="50"/>
      <c r="CE903" s="50"/>
      <c r="CF903" s="50"/>
      <c r="CG903" s="50"/>
      <c r="CH903" s="50"/>
      <c r="CI903" s="50"/>
      <c r="CJ903" s="50"/>
      <c r="CK903" s="50"/>
      <c r="CL903" s="50"/>
      <c r="CM903" s="50"/>
      <c r="CN903" s="50"/>
      <c r="CO903" s="50"/>
      <c r="CP903" s="50"/>
      <c r="CQ903" s="50"/>
      <c r="CR903" s="50"/>
      <c r="CS903" s="50"/>
    </row>
    <row r="904" spans="1:97" ht="15" thickBot="1">
      <c r="A904" s="49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111"/>
      <c r="AJ904" s="111"/>
      <c r="AK904" s="111"/>
      <c r="AL904" s="111"/>
      <c r="AM904" s="111"/>
      <c r="AN904" s="111"/>
      <c r="AO904" s="111"/>
      <c r="AP904" s="111"/>
      <c r="AQ904" s="111"/>
      <c r="AR904" s="111"/>
      <c r="AS904" s="111"/>
      <c r="AT904" s="111"/>
      <c r="AU904" s="111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  <c r="BQ904" s="50"/>
      <c r="BR904" s="50"/>
      <c r="BS904" s="111"/>
      <c r="BT904" s="50"/>
      <c r="BU904" s="50"/>
      <c r="BV904" s="50"/>
      <c r="BW904" s="50"/>
      <c r="BX904" s="50"/>
      <c r="BY904" s="50"/>
      <c r="BZ904" s="50"/>
      <c r="CA904" s="50"/>
      <c r="CB904" s="50"/>
      <c r="CC904" s="50"/>
      <c r="CD904" s="50"/>
      <c r="CE904" s="50"/>
      <c r="CF904" s="50"/>
      <c r="CG904" s="50"/>
      <c r="CH904" s="50"/>
      <c r="CI904" s="50"/>
      <c r="CJ904" s="50"/>
      <c r="CK904" s="50"/>
      <c r="CL904" s="50"/>
      <c r="CM904" s="50"/>
      <c r="CN904" s="50"/>
      <c r="CO904" s="50"/>
      <c r="CP904" s="50"/>
      <c r="CQ904" s="50"/>
      <c r="CR904" s="50"/>
      <c r="CS904" s="50"/>
    </row>
    <row r="905" spans="1:97" ht="15" thickBot="1">
      <c r="A905" s="49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111"/>
      <c r="AJ905" s="111"/>
      <c r="AK905" s="111"/>
      <c r="AL905" s="111"/>
      <c r="AM905" s="111"/>
      <c r="AN905" s="111"/>
      <c r="AO905" s="111"/>
      <c r="AP905" s="111"/>
      <c r="AQ905" s="111"/>
      <c r="AR905" s="111"/>
      <c r="AS905" s="111"/>
      <c r="AT905" s="111"/>
      <c r="AU905" s="111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  <c r="BQ905" s="50"/>
      <c r="BR905" s="50"/>
      <c r="BS905" s="111"/>
      <c r="BT905" s="50"/>
      <c r="BU905" s="50"/>
      <c r="BV905" s="50"/>
      <c r="BW905" s="50"/>
      <c r="BX905" s="50"/>
      <c r="BY905" s="50"/>
      <c r="BZ905" s="50"/>
      <c r="CA905" s="50"/>
      <c r="CB905" s="50"/>
      <c r="CC905" s="50"/>
      <c r="CD905" s="50"/>
      <c r="CE905" s="50"/>
      <c r="CF905" s="50"/>
      <c r="CG905" s="50"/>
      <c r="CH905" s="50"/>
      <c r="CI905" s="50"/>
      <c r="CJ905" s="50"/>
      <c r="CK905" s="50"/>
      <c r="CL905" s="50"/>
      <c r="CM905" s="50"/>
      <c r="CN905" s="50"/>
      <c r="CO905" s="50"/>
      <c r="CP905" s="50"/>
      <c r="CQ905" s="50"/>
      <c r="CR905" s="50"/>
      <c r="CS905" s="50"/>
    </row>
    <row r="906" spans="1:97" ht="15" thickBot="1">
      <c r="A906" s="49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111"/>
      <c r="AJ906" s="111"/>
      <c r="AK906" s="111"/>
      <c r="AL906" s="111"/>
      <c r="AM906" s="111"/>
      <c r="AN906" s="111"/>
      <c r="AO906" s="111"/>
      <c r="AP906" s="111"/>
      <c r="AQ906" s="111"/>
      <c r="AR906" s="111"/>
      <c r="AS906" s="111"/>
      <c r="AT906" s="111"/>
      <c r="AU906" s="111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  <c r="BQ906" s="50"/>
      <c r="BR906" s="50"/>
      <c r="BS906" s="111"/>
      <c r="BT906" s="50"/>
      <c r="BU906" s="50"/>
      <c r="BV906" s="50"/>
      <c r="BW906" s="50"/>
      <c r="BX906" s="50"/>
      <c r="BY906" s="50"/>
      <c r="BZ906" s="50"/>
      <c r="CA906" s="50"/>
      <c r="CB906" s="50"/>
      <c r="CC906" s="50"/>
      <c r="CD906" s="50"/>
      <c r="CE906" s="50"/>
      <c r="CF906" s="50"/>
      <c r="CG906" s="50"/>
      <c r="CH906" s="50"/>
      <c r="CI906" s="50"/>
      <c r="CJ906" s="50"/>
      <c r="CK906" s="50"/>
      <c r="CL906" s="50"/>
      <c r="CM906" s="50"/>
      <c r="CN906" s="50"/>
      <c r="CO906" s="50"/>
      <c r="CP906" s="50"/>
      <c r="CQ906" s="50"/>
      <c r="CR906" s="50"/>
      <c r="CS906" s="50"/>
    </row>
    <row r="907" spans="1:97" ht="15" thickBot="1">
      <c r="A907" s="49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111"/>
      <c r="AJ907" s="111"/>
      <c r="AK907" s="111"/>
      <c r="AL907" s="111"/>
      <c r="AM907" s="111"/>
      <c r="AN907" s="111"/>
      <c r="AO907" s="111"/>
      <c r="AP907" s="111"/>
      <c r="AQ907" s="111"/>
      <c r="AR907" s="111"/>
      <c r="AS907" s="111"/>
      <c r="AT907" s="111"/>
      <c r="AU907" s="111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  <c r="BQ907" s="50"/>
      <c r="BR907" s="50"/>
      <c r="BS907" s="111"/>
      <c r="BT907" s="50"/>
      <c r="BU907" s="50"/>
      <c r="BV907" s="50"/>
      <c r="BW907" s="50"/>
      <c r="BX907" s="50"/>
      <c r="BY907" s="50"/>
      <c r="BZ907" s="50"/>
      <c r="CA907" s="50"/>
      <c r="CB907" s="50"/>
      <c r="CC907" s="50"/>
      <c r="CD907" s="50"/>
      <c r="CE907" s="50"/>
      <c r="CF907" s="50"/>
      <c r="CG907" s="50"/>
      <c r="CH907" s="50"/>
      <c r="CI907" s="50"/>
      <c r="CJ907" s="50"/>
      <c r="CK907" s="50"/>
      <c r="CL907" s="50"/>
      <c r="CM907" s="50"/>
      <c r="CN907" s="50"/>
      <c r="CO907" s="50"/>
      <c r="CP907" s="50"/>
      <c r="CQ907" s="50"/>
      <c r="CR907" s="50"/>
      <c r="CS907" s="50"/>
    </row>
    <row r="908" spans="1:97" ht="15" thickBot="1">
      <c r="A908" s="49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111"/>
      <c r="AJ908" s="111"/>
      <c r="AK908" s="111"/>
      <c r="AL908" s="111"/>
      <c r="AM908" s="111"/>
      <c r="AN908" s="111"/>
      <c r="AO908" s="111"/>
      <c r="AP908" s="111"/>
      <c r="AQ908" s="111"/>
      <c r="AR908" s="111"/>
      <c r="AS908" s="111"/>
      <c r="AT908" s="111"/>
      <c r="AU908" s="111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  <c r="BQ908" s="50"/>
      <c r="BR908" s="50"/>
      <c r="BS908" s="111"/>
      <c r="BT908" s="50"/>
      <c r="BU908" s="50"/>
      <c r="BV908" s="50"/>
      <c r="BW908" s="50"/>
      <c r="BX908" s="50"/>
      <c r="BY908" s="50"/>
      <c r="BZ908" s="50"/>
      <c r="CA908" s="50"/>
      <c r="CB908" s="50"/>
      <c r="CC908" s="50"/>
      <c r="CD908" s="50"/>
      <c r="CE908" s="50"/>
      <c r="CF908" s="50"/>
      <c r="CG908" s="50"/>
      <c r="CH908" s="50"/>
      <c r="CI908" s="50"/>
      <c r="CJ908" s="50"/>
      <c r="CK908" s="50"/>
      <c r="CL908" s="50"/>
      <c r="CM908" s="50"/>
      <c r="CN908" s="50"/>
      <c r="CO908" s="50"/>
      <c r="CP908" s="50"/>
      <c r="CQ908" s="50"/>
      <c r="CR908" s="50"/>
      <c r="CS908" s="50"/>
    </row>
    <row r="909" spans="1:97" ht="15" thickBot="1">
      <c r="A909" s="49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111"/>
      <c r="AJ909" s="111"/>
      <c r="AK909" s="111"/>
      <c r="AL909" s="111"/>
      <c r="AM909" s="111"/>
      <c r="AN909" s="111"/>
      <c r="AO909" s="111"/>
      <c r="AP909" s="111"/>
      <c r="AQ909" s="111"/>
      <c r="AR909" s="111"/>
      <c r="AS909" s="111"/>
      <c r="AT909" s="111"/>
      <c r="AU909" s="111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  <c r="BQ909" s="50"/>
      <c r="BR909" s="50"/>
      <c r="BS909" s="111"/>
      <c r="BT909" s="50"/>
      <c r="BU909" s="50"/>
      <c r="BV909" s="50"/>
      <c r="BW909" s="50"/>
      <c r="BX909" s="50"/>
      <c r="BY909" s="50"/>
      <c r="BZ909" s="50"/>
      <c r="CA909" s="50"/>
      <c r="CB909" s="50"/>
      <c r="CC909" s="50"/>
      <c r="CD909" s="50"/>
      <c r="CE909" s="50"/>
      <c r="CF909" s="50"/>
      <c r="CG909" s="50"/>
      <c r="CH909" s="50"/>
      <c r="CI909" s="50"/>
      <c r="CJ909" s="50"/>
      <c r="CK909" s="50"/>
      <c r="CL909" s="50"/>
      <c r="CM909" s="50"/>
      <c r="CN909" s="50"/>
      <c r="CO909" s="50"/>
      <c r="CP909" s="50"/>
      <c r="CQ909" s="50"/>
      <c r="CR909" s="50"/>
      <c r="CS909" s="50"/>
    </row>
    <row r="910" spans="1:97" ht="15" thickBot="1">
      <c r="A910" s="49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111"/>
      <c r="AJ910" s="111"/>
      <c r="AK910" s="111"/>
      <c r="AL910" s="111"/>
      <c r="AM910" s="111"/>
      <c r="AN910" s="111"/>
      <c r="AO910" s="111"/>
      <c r="AP910" s="111"/>
      <c r="AQ910" s="111"/>
      <c r="AR910" s="111"/>
      <c r="AS910" s="111"/>
      <c r="AT910" s="111"/>
      <c r="AU910" s="111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111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</row>
    <row r="911" spans="1:97" ht="15" thickBot="1">
      <c r="A911" s="49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111"/>
      <c r="AJ911" s="111"/>
      <c r="AK911" s="111"/>
      <c r="AL911" s="111"/>
      <c r="AM911" s="111"/>
      <c r="AN911" s="111"/>
      <c r="AO911" s="111"/>
      <c r="AP911" s="111"/>
      <c r="AQ911" s="111"/>
      <c r="AR911" s="111"/>
      <c r="AS911" s="111"/>
      <c r="AT911" s="111"/>
      <c r="AU911" s="111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111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</row>
    <row r="912" spans="1:97" ht="15" thickBot="1">
      <c r="A912" s="49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111"/>
      <c r="AJ912" s="111"/>
      <c r="AK912" s="111"/>
      <c r="AL912" s="111"/>
      <c r="AM912" s="111"/>
      <c r="AN912" s="111"/>
      <c r="AO912" s="111"/>
      <c r="AP912" s="111"/>
      <c r="AQ912" s="111"/>
      <c r="AR912" s="111"/>
      <c r="AS912" s="111"/>
      <c r="AT912" s="111"/>
      <c r="AU912" s="111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111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</row>
    <row r="913" spans="1:97" ht="15" thickBot="1">
      <c r="A913" s="49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111"/>
      <c r="AJ913" s="111"/>
      <c r="AK913" s="111"/>
      <c r="AL913" s="111"/>
      <c r="AM913" s="111"/>
      <c r="AN913" s="111"/>
      <c r="AO913" s="111"/>
      <c r="AP913" s="111"/>
      <c r="AQ913" s="111"/>
      <c r="AR913" s="111"/>
      <c r="AS913" s="111"/>
      <c r="AT913" s="111"/>
      <c r="AU913" s="111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111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</row>
    <row r="914" spans="1:97" ht="15" thickBot="1">
      <c r="A914" s="49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111"/>
      <c r="AJ914" s="111"/>
      <c r="AK914" s="111"/>
      <c r="AL914" s="111"/>
      <c r="AM914" s="111"/>
      <c r="AN914" s="111"/>
      <c r="AO914" s="111"/>
      <c r="AP914" s="111"/>
      <c r="AQ914" s="111"/>
      <c r="AR914" s="111"/>
      <c r="AS914" s="111"/>
      <c r="AT914" s="111"/>
      <c r="AU914" s="111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111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</row>
    <row r="915" spans="1:97" ht="15" thickBot="1">
      <c r="A915" s="49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111"/>
      <c r="AJ915" s="111"/>
      <c r="AK915" s="111"/>
      <c r="AL915" s="111"/>
      <c r="AM915" s="111"/>
      <c r="AN915" s="111"/>
      <c r="AO915" s="111"/>
      <c r="AP915" s="111"/>
      <c r="AQ915" s="111"/>
      <c r="AR915" s="111"/>
      <c r="AS915" s="111"/>
      <c r="AT915" s="111"/>
      <c r="AU915" s="111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111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</row>
    <row r="916" spans="1:97" ht="15" thickBot="1">
      <c r="A916" s="49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  <c r="BQ916" s="50"/>
      <c r="BR916" s="50"/>
      <c r="BS916" s="111"/>
      <c r="BT916" s="50"/>
      <c r="BU916" s="50"/>
      <c r="BV916" s="50"/>
      <c r="BW916" s="50"/>
      <c r="BX916" s="50"/>
      <c r="BY916" s="50"/>
      <c r="BZ916" s="50"/>
      <c r="CA916" s="50"/>
      <c r="CB916" s="50"/>
      <c r="CC916" s="50"/>
      <c r="CD916" s="50"/>
      <c r="CE916" s="50"/>
      <c r="CF916" s="50"/>
      <c r="CG916" s="50"/>
      <c r="CH916" s="50"/>
      <c r="CI916" s="50"/>
      <c r="CJ916" s="50"/>
      <c r="CK916" s="50"/>
      <c r="CL916" s="50"/>
      <c r="CM916" s="50"/>
      <c r="CN916" s="50"/>
      <c r="CO916" s="50"/>
      <c r="CP916" s="50"/>
      <c r="CQ916" s="50"/>
      <c r="CR916" s="50"/>
      <c r="CS916" s="50"/>
    </row>
    <row r="917" spans="1:97" ht="15" thickBot="1">
      <c r="A917" s="49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111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</row>
    <row r="918" spans="1:97" ht="15" thickBot="1">
      <c r="A918" s="49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111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</row>
    <row r="919" spans="1:97" ht="15" thickBot="1">
      <c r="A919" s="49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111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</row>
    <row r="920" spans="1:97" ht="15" thickBot="1">
      <c r="A920" s="49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  <c r="BQ920" s="50"/>
      <c r="BR920" s="50"/>
      <c r="BS920" s="111"/>
      <c r="BT920" s="50"/>
      <c r="BU920" s="50"/>
      <c r="BV920" s="50"/>
      <c r="BW920" s="50"/>
      <c r="BX920" s="50"/>
      <c r="BY920" s="50"/>
      <c r="BZ920" s="50"/>
      <c r="CA920" s="50"/>
      <c r="CB920" s="50"/>
      <c r="CC920" s="50"/>
      <c r="CD920" s="50"/>
      <c r="CE920" s="50"/>
      <c r="CF920" s="50"/>
      <c r="CG920" s="50"/>
      <c r="CH920" s="50"/>
      <c r="CI920" s="50"/>
      <c r="CJ920" s="50"/>
      <c r="CK920" s="50"/>
      <c r="CL920" s="50"/>
      <c r="CM920" s="50"/>
      <c r="CN920" s="50"/>
      <c r="CO920" s="50"/>
      <c r="CP920" s="50"/>
      <c r="CQ920" s="50"/>
      <c r="CR920" s="50"/>
      <c r="CS920" s="50"/>
    </row>
    <row r="921" spans="1:97" ht="15" thickBot="1">
      <c r="A921" s="49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111"/>
      <c r="AJ921" s="111"/>
      <c r="AK921" s="111"/>
      <c r="AL921" s="111"/>
      <c r="AM921" s="111"/>
      <c r="AN921" s="111"/>
      <c r="AO921" s="111"/>
      <c r="AP921" s="111"/>
      <c r="AQ921" s="111"/>
      <c r="AR921" s="111"/>
      <c r="AS921" s="111"/>
      <c r="AT921" s="111"/>
      <c r="AU921" s="111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  <c r="BQ921" s="50"/>
      <c r="BR921" s="50"/>
      <c r="BS921" s="111"/>
      <c r="BT921" s="50"/>
      <c r="BU921" s="50"/>
      <c r="BV921" s="50"/>
      <c r="BW921" s="50"/>
      <c r="BX921" s="50"/>
      <c r="BY921" s="50"/>
      <c r="BZ921" s="50"/>
      <c r="CA921" s="50"/>
      <c r="CB921" s="50"/>
      <c r="CC921" s="50"/>
      <c r="CD921" s="50"/>
      <c r="CE921" s="50"/>
      <c r="CF921" s="50"/>
      <c r="CG921" s="50"/>
      <c r="CH921" s="50"/>
      <c r="CI921" s="50"/>
      <c r="CJ921" s="50"/>
      <c r="CK921" s="50"/>
      <c r="CL921" s="50"/>
      <c r="CM921" s="50"/>
      <c r="CN921" s="50"/>
      <c r="CO921" s="50"/>
      <c r="CP921" s="50"/>
      <c r="CQ921" s="50"/>
      <c r="CR921" s="50"/>
      <c r="CS921" s="50"/>
    </row>
    <row r="922" spans="1:97" ht="15" thickBot="1">
      <c r="A922" s="49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111"/>
      <c r="AJ922" s="111"/>
      <c r="AK922" s="111"/>
      <c r="AL922" s="111"/>
      <c r="AM922" s="111"/>
      <c r="AN922" s="111"/>
      <c r="AO922" s="111"/>
      <c r="AP922" s="111"/>
      <c r="AQ922" s="111"/>
      <c r="AR922" s="111"/>
      <c r="AS922" s="111"/>
      <c r="AT922" s="111"/>
      <c r="AU922" s="111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111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</row>
    <row r="923" spans="1:97" ht="15" thickBot="1">
      <c r="A923" s="49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111"/>
      <c r="AJ923" s="111"/>
      <c r="AK923" s="111"/>
      <c r="AL923" s="111"/>
      <c r="AM923" s="111"/>
      <c r="AN923" s="111"/>
      <c r="AO923" s="111"/>
      <c r="AP923" s="111"/>
      <c r="AQ923" s="111"/>
      <c r="AR923" s="111"/>
      <c r="AS923" s="111"/>
      <c r="AT923" s="111"/>
      <c r="AU923" s="111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111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  <c r="CG923" s="50"/>
      <c r="CH923" s="50"/>
      <c r="CI923" s="50"/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</row>
    <row r="924" spans="1:97" ht="15" thickBot="1">
      <c r="A924" s="49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111"/>
      <c r="AJ924" s="111"/>
      <c r="AK924" s="111"/>
      <c r="AL924" s="111"/>
      <c r="AM924" s="111"/>
      <c r="AN924" s="111"/>
      <c r="AO924" s="111"/>
      <c r="AP924" s="111"/>
      <c r="AQ924" s="111"/>
      <c r="AR924" s="111"/>
      <c r="AS924" s="111"/>
      <c r="AT924" s="111"/>
      <c r="AU924" s="111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111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</row>
    <row r="925" spans="1:97" ht="15" thickBot="1">
      <c r="A925" s="49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111"/>
      <c r="AJ925" s="111"/>
      <c r="AK925" s="111"/>
      <c r="AL925" s="111"/>
      <c r="AM925" s="111"/>
      <c r="AN925" s="111"/>
      <c r="AO925" s="111"/>
      <c r="AP925" s="111"/>
      <c r="AQ925" s="111"/>
      <c r="AR925" s="111"/>
      <c r="AS925" s="111"/>
      <c r="AT925" s="111"/>
      <c r="AU925" s="111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111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</row>
    <row r="926" spans="1:97" ht="15" thickBot="1">
      <c r="A926" s="49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111"/>
      <c r="AJ926" s="111"/>
      <c r="AK926" s="111"/>
      <c r="AL926" s="111"/>
      <c r="AM926" s="111"/>
      <c r="AN926" s="111"/>
      <c r="AO926" s="111"/>
      <c r="AP926" s="111"/>
      <c r="AQ926" s="111"/>
      <c r="AR926" s="111"/>
      <c r="AS926" s="111"/>
      <c r="AT926" s="111"/>
      <c r="AU926" s="111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  <c r="BQ926" s="50"/>
      <c r="BR926" s="50"/>
      <c r="BS926" s="111"/>
      <c r="BT926" s="50"/>
      <c r="BU926" s="50"/>
      <c r="BV926" s="50"/>
      <c r="BW926" s="50"/>
      <c r="BX926" s="50"/>
      <c r="BY926" s="50"/>
      <c r="BZ926" s="50"/>
      <c r="CA926" s="50"/>
      <c r="CB926" s="50"/>
      <c r="CC926" s="50"/>
      <c r="CD926" s="50"/>
      <c r="CE926" s="50"/>
      <c r="CF926" s="50"/>
      <c r="CG926" s="50"/>
      <c r="CH926" s="50"/>
      <c r="CI926" s="50"/>
      <c r="CJ926" s="50"/>
      <c r="CK926" s="50"/>
      <c r="CL926" s="50"/>
      <c r="CM926" s="50"/>
      <c r="CN926" s="50"/>
      <c r="CO926" s="50"/>
      <c r="CP926" s="50"/>
      <c r="CQ926" s="50"/>
      <c r="CR926" s="50"/>
      <c r="CS926" s="50"/>
    </row>
    <row r="927" spans="1:97" ht="15" thickBot="1">
      <c r="A927" s="49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111"/>
      <c r="AJ927" s="111"/>
      <c r="AK927" s="111"/>
      <c r="AL927" s="111"/>
      <c r="AM927" s="111"/>
      <c r="AN927" s="111"/>
      <c r="AO927" s="111"/>
      <c r="AP927" s="111"/>
      <c r="AQ927" s="111"/>
      <c r="AR927" s="111"/>
      <c r="AS927" s="111"/>
      <c r="AT927" s="111"/>
      <c r="AU927" s="111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111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</row>
    <row r="928" spans="1:97" ht="15" thickBot="1">
      <c r="A928" s="49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111"/>
      <c r="AJ928" s="111"/>
      <c r="AK928" s="111"/>
      <c r="AL928" s="111"/>
      <c r="AM928" s="111"/>
      <c r="AN928" s="111"/>
      <c r="AO928" s="111"/>
      <c r="AP928" s="111"/>
      <c r="AQ928" s="111"/>
      <c r="AR928" s="111"/>
      <c r="AS928" s="111"/>
      <c r="AT928" s="111"/>
      <c r="AU928" s="111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111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</row>
    <row r="929" spans="1:97" ht="15" thickBot="1">
      <c r="A929" s="49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111"/>
      <c r="AJ929" s="111"/>
      <c r="AK929" s="111"/>
      <c r="AL929" s="111"/>
      <c r="AM929" s="111"/>
      <c r="AN929" s="111"/>
      <c r="AO929" s="111"/>
      <c r="AP929" s="111"/>
      <c r="AQ929" s="111"/>
      <c r="AR929" s="111"/>
      <c r="AS929" s="111"/>
      <c r="AT929" s="111"/>
      <c r="AU929" s="111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111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</row>
    <row r="930" spans="1:97" ht="15" thickBot="1">
      <c r="A930" s="49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111"/>
      <c r="AJ930" s="111"/>
      <c r="AK930" s="111"/>
      <c r="AL930" s="111"/>
      <c r="AM930" s="111"/>
      <c r="AN930" s="111"/>
      <c r="AO930" s="111"/>
      <c r="AP930" s="111"/>
      <c r="AQ930" s="111"/>
      <c r="AR930" s="111"/>
      <c r="AS930" s="111"/>
      <c r="AT930" s="111"/>
      <c r="AU930" s="111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111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</row>
    <row r="931" spans="1:97" ht="15" thickBot="1">
      <c r="A931" s="49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111"/>
      <c r="AJ931" s="111"/>
      <c r="AK931" s="111"/>
      <c r="AL931" s="111"/>
      <c r="AM931" s="111"/>
      <c r="AN931" s="111"/>
      <c r="AO931" s="111"/>
      <c r="AP931" s="111"/>
      <c r="AQ931" s="111"/>
      <c r="AR931" s="111"/>
      <c r="AS931" s="111"/>
      <c r="AT931" s="111"/>
      <c r="AU931" s="111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  <c r="BQ931" s="50"/>
      <c r="BR931" s="50"/>
      <c r="BS931" s="111"/>
      <c r="BT931" s="50"/>
      <c r="BU931" s="50"/>
      <c r="BV931" s="50"/>
      <c r="BW931" s="50"/>
      <c r="BX931" s="50"/>
      <c r="BY931" s="50"/>
      <c r="BZ931" s="50"/>
      <c r="CA931" s="50"/>
      <c r="CB931" s="50"/>
      <c r="CC931" s="50"/>
      <c r="CD931" s="50"/>
      <c r="CE931" s="50"/>
      <c r="CF931" s="50"/>
      <c r="CG931" s="50"/>
      <c r="CH931" s="50"/>
      <c r="CI931" s="50"/>
      <c r="CJ931" s="50"/>
      <c r="CK931" s="50"/>
      <c r="CL931" s="50"/>
      <c r="CM931" s="50"/>
      <c r="CN931" s="50"/>
      <c r="CO931" s="50"/>
      <c r="CP931" s="50"/>
      <c r="CQ931" s="50"/>
      <c r="CR931" s="50"/>
      <c r="CS931" s="50"/>
    </row>
    <row r="932" spans="1:97" ht="15" thickBot="1">
      <c r="A932" s="49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111"/>
      <c r="AJ932" s="111"/>
      <c r="AK932" s="111"/>
      <c r="AL932" s="111"/>
      <c r="AM932" s="111"/>
      <c r="AN932" s="111"/>
      <c r="AO932" s="111"/>
      <c r="AP932" s="111"/>
      <c r="AQ932" s="111"/>
      <c r="AR932" s="111"/>
      <c r="AS932" s="111"/>
      <c r="AT932" s="111"/>
      <c r="AU932" s="111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  <c r="BQ932" s="50"/>
      <c r="BR932" s="50"/>
      <c r="BS932" s="111"/>
      <c r="BT932" s="50"/>
      <c r="BU932" s="50"/>
      <c r="BV932" s="50"/>
      <c r="BW932" s="50"/>
      <c r="BX932" s="50"/>
      <c r="BY932" s="50"/>
      <c r="BZ932" s="50"/>
      <c r="CA932" s="50"/>
      <c r="CB932" s="50"/>
      <c r="CC932" s="50"/>
      <c r="CD932" s="50"/>
      <c r="CE932" s="50"/>
      <c r="CF932" s="50"/>
      <c r="CG932" s="50"/>
      <c r="CH932" s="50"/>
      <c r="CI932" s="50"/>
      <c r="CJ932" s="50"/>
      <c r="CK932" s="50"/>
      <c r="CL932" s="50"/>
      <c r="CM932" s="50"/>
      <c r="CN932" s="50"/>
      <c r="CO932" s="50"/>
      <c r="CP932" s="50"/>
      <c r="CQ932" s="50"/>
      <c r="CR932" s="50"/>
      <c r="CS932" s="50"/>
    </row>
    <row r="933" spans="1:97" ht="15" thickBot="1">
      <c r="A933" s="49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  <c r="BQ933" s="50"/>
      <c r="BR933" s="50"/>
      <c r="BS933" s="111"/>
      <c r="BT933" s="50"/>
      <c r="BU933" s="50"/>
      <c r="BV933" s="50"/>
      <c r="BW933" s="50"/>
      <c r="BX933" s="50"/>
      <c r="BY933" s="50"/>
      <c r="BZ933" s="50"/>
      <c r="CA933" s="50"/>
      <c r="CB933" s="50"/>
      <c r="CC933" s="50"/>
      <c r="CD933" s="50"/>
      <c r="CE933" s="50"/>
      <c r="CF933" s="50"/>
      <c r="CG933" s="50"/>
      <c r="CH933" s="50"/>
      <c r="CI933" s="50"/>
      <c r="CJ933" s="50"/>
      <c r="CK933" s="50"/>
      <c r="CL933" s="50"/>
      <c r="CM933" s="50"/>
      <c r="CN933" s="50"/>
      <c r="CO933" s="50"/>
      <c r="CP933" s="50"/>
      <c r="CQ933" s="50"/>
      <c r="CR933" s="50"/>
      <c r="CS933" s="50"/>
    </row>
    <row r="934" spans="1:97" ht="15" thickBot="1">
      <c r="A934" s="49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111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</row>
    <row r="935" spans="1:97" ht="15" thickBot="1">
      <c r="A935" s="49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111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</row>
    <row r="936" spans="1:97" ht="15" thickBot="1">
      <c r="A936" s="49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111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</row>
    <row r="937" spans="1:97" ht="15" thickBot="1">
      <c r="A937" s="49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111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</row>
    <row r="938" spans="1:97" ht="15" thickBot="1">
      <c r="A938" s="49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111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</row>
    <row r="939" spans="1:97" ht="15" thickBot="1">
      <c r="A939" s="49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  <c r="BQ939" s="50"/>
      <c r="BR939" s="50"/>
      <c r="BS939" s="111"/>
      <c r="BT939" s="50"/>
      <c r="BU939" s="50"/>
      <c r="BV939" s="50"/>
      <c r="BW939" s="50"/>
      <c r="BX939" s="50"/>
      <c r="BY939" s="50"/>
      <c r="BZ939" s="50"/>
      <c r="CA939" s="50"/>
      <c r="CB939" s="50"/>
      <c r="CC939" s="50"/>
      <c r="CD939" s="50"/>
      <c r="CE939" s="50"/>
      <c r="CF939" s="50"/>
      <c r="CG939" s="50"/>
      <c r="CH939" s="50"/>
      <c r="CI939" s="50"/>
      <c r="CJ939" s="50"/>
      <c r="CK939" s="50"/>
      <c r="CL939" s="50"/>
      <c r="CM939" s="50"/>
      <c r="CN939" s="50"/>
      <c r="CO939" s="50"/>
      <c r="CP939" s="50"/>
      <c r="CQ939" s="50"/>
      <c r="CR939" s="50"/>
      <c r="CS939" s="50"/>
    </row>
    <row r="940" spans="1:97" ht="15" thickBot="1">
      <c r="A940" s="49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  <c r="BQ940" s="50"/>
      <c r="BR940" s="50"/>
      <c r="BS940" s="111"/>
      <c r="BT940" s="50"/>
      <c r="BU940" s="50"/>
      <c r="BV940" s="50"/>
      <c r="BW940" s="50"/>
      <c r="BX940" s="50"/>
      <c r="BY940" s="50"/>
      <c r="BZ940" s="50"/>
      <c r="CA940" s="50"/>
      <c r="CB940" s="50"/>
      <c r="CC940" s="50"/>
      <c r="CD940" s="50"/>
      <c r="CE940" s="50"/>
      <c r="CF940" s="50"/>
      <c r="CG940" s="50"/>
      <c r="CH940" s="50"/>
      <c r="CI940" s="50"/>
      <c r="CJ940" s="50"/>
      <c r="CK940" s="50"/>
      <c r="CL940" s="50"/>
      <c r="CM940" s="50"/>
      <c r="CN940" s="50"/>
      <c r="CO940" s="50"/>
      <c r="CP940" s="50"/>
      <c r="CQ940" s="50"/>
      <c r="CR940" s="50"/>
      <c r="CS940" s="50"/>
    </row>
    <row r="941" spans="1:97" ht="15" thickBot="1">
      <c r="A941" s="49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  <c r="BQ941" s="50"/>
      <c r="BR941" s="50"/>
      <c r="BS941" s="111"/>
      <c r="BT941" s="50"/>
      <c r="BU941" s="50"/>
      <c r="BV941" s="50"/>
      <c r="BW941" s="50"/>
      <c r="BX941" s="50"/>
      <c r="BY941" s="50"/>
      <c r="BZ941" s="50"/>
      <c r="CA941" s="50"/>
      <c r="CB941" s="50"/>
      <c r="CC941" s="50"/>
      <c r="CD941" s="50"/>
      <c r="CE941" s="50"/>
      <c r="CF941" s="50"/>
      <c r="CG941" s="50"/>
      <c r="CH941" s="50"/>
      <c r="CI941" s="50"/>
      <c r="CJ941" s="50"/>
      <c r="CK941" s="50"/>
      <c r="CL941" s="50"/>
      <c r="CM941" s="50"/>
      <c r="CN941" s="50"/>
      <c r="CO941" s="50"/>
      <c r="CP941" s="50"/>
      <c r="CQ941" s="50"/>
      <c r="CR941" s="50"/>
      <c r="CS941" s="50"/>
    </row>
    <row r="942" spans="1:97" ht="15" thickBot="1">
      <c r="A942" s="49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  <c r="BQ942" s="50"/>
      <c r="BR942" s="50"/>
      <c r="BS942" s="111"/>
      <c r="BT942" s="50"/>
      <c r="BU942" s="50"/>
      <c r="BV942" s="50"/>
      <c r="BW942" s="50"/>
      <c r="BX942" s="50"/>
      <c r="BY942" s="50"/>
      <c r="BZ942" s="50"/>
      <c r="CA942" s="50"/>
      <c r="CB942" s="50"/>
      <c r="CC942" s="50"/>
      <c r="CD942" s="50"/>
      <c r="CE942" s="50"/>
      <c r="CF942" s="50"/>
      <c r="CG942" s="50"/>
      <c r="CH942" s="50"/>
      <c r="CI942" s="50"/>
      <c r="CJ942" s="50"/>
      <c r="CK942" s="50"/>
      <c r="CL942" s="50"/>
      <c r="CM942" s="50"/>
      <c r="CN942" s="50"/>
      <c r="CO942" s="50"/>
      <c r="CP942" s="50"/>
      <c r="CQ942" s="50"/>
      <c r="CR942" s="50"/>
      <c r="CS942" s="50"/>
    </row>
    <row r="943" spans="1:97" ht="15" thickBot="1">
      <c r="A943" s="49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  <c r="BQ943" s="50"/>
      <c r="BR943" s="50"/>
      <c r="BS943" s="111"/>
      <c r="BT943" s="50"/>
      <c r="BU943" s="50"/>
      <c r="BV943" s="50"/>
      <c r="BW943" s="50"/>
      <c r="BX943" s="50"/>
      <c r="BY943" s="50"/>
      <c r="BZ943" s="50"/>
      <c r="CA943" s="50"/>
      <c r="CB943" s="50"/>
      <c r="CC943" s="50"/>
      <c r="CD943" s="50"/>
      <c r="CE943" s="50"/>
      <c r="CF943" s="50"/>
      <c r="CG943" s="50"/>
      <c r="CH943" s="50"/>
      <c r="CI943" s="50"/>
      <c r="CJ943" s="50"/>
      <c r="CK943" s="50"/>
      <c r="CL943" s="50"/>
      <c r="CM943" s="50"/>
      <c r="CN943" s="50"/>
      <c r="CO943" s="50"/>
      <c r="CP943" s="50"/>
      <c r="CQ943" s="50"/>
      <c r="CR943" s="50"/>
      <c r="CS943" s="50"/>
    </row>
    <row r="944" spans="1:97" ht="15" thickBot="1">
      <c r="A944" s="49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  <c r="BQ944" s="50"/>
      <c r="BR944" s="50"/>
      <c r="BS944" s="111"/>
      <c r="BT944" s="50"/>
      <c r="BU944" s="50"/>
      <c r="BV944" s="50"/>
      <c r="BW944" s="50"/>
      <c r="BX944" s="50"/>
      <c r="BY944" s="50"/>
      <c r="BZ944" s="50"/>
      <c r="CA944" s="50"/>
      <c r="CB944" s="50"/>
      <c r="CC944" s="50"/>
      <c r="CD944" s="50"/>
      <c r="CE944" s="50"/>
      <c r="CF944" s="50"/>
      <c r="CG944" s="50"/>
      <c r="CH944" s="50"/>
      <c r="CI944" s="50"/>
      <c r="CJ944" s="50"/>
      <c r="CK944" s="50"/>
      <c r="CL944" s="50"/>
      <c r="CM944" s="50"/>
      <c r="CN944" s="50"/>
      <c r="CO944" s="50"/>
      <c r="CP944" s="50"/>
      <c r="CQ944" s="50"/>
      <c r="CR944" s="50"/>
      <c r="CS944" s="50"/>
    </row>
    <row r="945" spans="1:97" ht="15" thickBot="1">
      <c r="A945" s="49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  <c r="BQ945" s="50"/>
      <c r="BR945" s="50"/>
      <c r="BS945" s="111"/>
      <c r="BT945" s="50"/>
      <c r="BU945" s="50"/>
      <c r="BV945" s="50"/>
      <c r="BW945" s="50"/>
      <c r="BX945" s="50"/>
      <c r="BY945" s="50"/>
      <c r="BZ945" s="50"/>
      <c r="CA945" s="50"/>
      <c r="CB945" s="50"/>
      <c r="CC945" s="50"/>
      <c r="CD945" s="50"/>
      <c r="CE945" s="50"/>
      <c r="CF945" s="50"/>
      <c r="CG945" s="50"/>
      <c r="CH945" s="50"/>
      <c r="CI945" s="50"/>
      <c r="CJ945" s="50"/>
      <c r="CK945" s="50"/>
      <c r="CL945" s="50"/>
      <c r="CM945" s="50"/>
      <c r="CN945" s="50"/>
      <c r="CO945" s="50"/>
      <c r="CP945" s="50"/>
      <c r="CQ945" s="50"/>
      <c r="CR945" s="50"/>
      <c r="CS945" s="50"/>
    </row>
    <row r="946" spans="1:97" ht="15" thickBot="1">
      <c r="A946" s="49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  <c r="BQ946" s="50"/>
      <c r="BR946" s="50"/>
      <c r="BS946" s="111"/>
      <c r="BT946" s="50"/>
      <c r="BU946" s="50"/>
      <c r="BV946" s="50"/>
      <c r="BW946" s="50"/>
      <c r="BX946" s="50"/>
      <c r="BY946" s="50"/>
      <c r="BZ946" s="50"/>
      <c r="CA946" s="50"/>
      <c r="CB946" s="50"/>
      <c r="CC946" s="50"/>
      <c r="CD946" s="50"/>
      <c r="CE946" s="50"/>
      <c r="CF946" s="50"/>
      <c r="CG946" s="50"/>
      <c r="CH946" s="50"/>
      <c r="CI946" s="50"/>
      <c r="CJ946" s="50"/>
      <c r="CK946" s="50"/>
      <c r="CL946" s="50"/>
      <c r="CM946" s="50"/>
      <c r="CN946" s="50"/>
      <c r="CO946" s="50"/>
      <c r="CP946" s="50"/>
      <c r="CQ946" s="50"/>
      <c r="CR946" s="50"/>
      <c r="CS946" s="50"/>
    </row>
    <row r="947" spans="1:97" ht="15" thickBot="1">
      <c r="A947" s="49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  <c r="BQ947" s="50"/>
      <c r="BR947" s="50"/>
      <c r="BS947" s="111"/>
      <c r="BT947" s="50"/>
      <c r="BU947" s="50"/>
      <c r="BV947" s="50"/>
      <c r="BW947" s="50"/>
      <c r="BX947" s="50"/>
      <c r="BY947" s="50"/>
      <c r="BZ947" s="50"/>
      <c r="CA947" s="50"/>
      <c r="CB947" s="50"/>
      <c r="CC947" s="50"/>
      <c r="CD947" s="50"/>
      <c r="CE947" s="50"/>
      <c r="CF947" s="50"/>
      <c r="CG947" s="50"/>
      <c r="CH947" s="50"/>
      <c r="CI947" s="50"/>
      <c r="CJ947" s="50"/>
      <c r="CK947" s="50"/>
      <c r="CL947" s="50"/>
      <c r="CM947" s="50"/>
      <c r="CN947" s="50"/>
      <c r="CO947" s="50"/>
      <c r="CP947" s="50"/>
      <c r="CQ947" s="50"/>
      <c r="CR947" s="50"/>
      <c r="CS947" s="50"/>
    </row>
    <row r="948" spans="1:97" ht="15" thickBot="1">
      <c r="A948" s="49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  <c r="BQ948" s="50"/>
      <c r="BR948" s="50"/>
      <c r="BS948" s="111"/>
      <c r="BT948" s="50"/>
      <c r="BU948" s="50"/>
      <c r="BV948" s="50"/>
      <c r="BW948" s="50"/>
      <c r="BX948" s="50"/>
      <c r="BY948" s="50"/>
      <c r="BZ948" s="50"/>
      <c r="CA948" s="50"/>
      <c r="CB948" s="50"/>
      <c r="CC948" s="50"/>
      <c r="CD948" s="50"/>
      <c r="CE948" s="50"/>
      <c r="CF948" s="50"/>
      <c r="CG948" s="50"/>
      <c r="CH948" s="50"/>
      <c r="CI948" s="50"/>
      <c r="CJ948" s="50"/>
      <c r="CK948" s="50"/>
      <c r="CL948" s="50"/>
      <c r="CM948" s="50"/>
      <c r="CN948" s="50"/>
      <c r="CO948" s="50"/>
      <c r="CP948" s="50"/>
      <c r="CQ948" s="50"/>
      <c r="CR948" s="50"/>
      <c r="CS948" s="50"/>
    </row>
    <row r="949" spans="1:97" ht="15" thickBot="1">
      <c r="A949" s="49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  <c r="BQ949" s="50"/>
      <c r="BR949" s="50"/>
      <c r="BS949" s="111"/>
      <c r="BT949" s="50"/>
      <c r="BU949" s="50"/>
      <c r="BV949" s="50"/>
      <c r="BW949" s="50"/>
      <c r="BX949" s="50"/>
      <c r="BY949" s="50"/>
      <c r="BZ949" s="50"/>
      <c r="CA949" s="50"/>
      <c r="CB949" s="50"/>
      <c r="CC949" s="50"/>
      <c r="CD949" s="50"/>
      <c r="CE949" s="50"/>
      <c r="CF949" s="50"/>
      <c r="CG949" s="50"/>
      <c r="CH949" s="50"/>
      <c r="CI949" s="50"/>
      <c r="CJ949" s="50"/>
      <c r="CK949" s="50"/>
      <c r="CL949" s="50"/>
      <c r="CM949" s="50"/>
      <c r="CN949" s="50"/>
      <c r="CO949" s="50"/>
      <c r="CP949" s="50"/>
      <c r="CQ949" s="50"/>
      <c r="CR949" s="50"/>
      <c r="CS949" s="50"/>
    </row>
    <row r="950" spans="1:97" ht="15" thickBot="1">
      <c r="A950" s="49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  <c r="BQ950" s="50"/>
      <c r="BR950" s="50"/>
      <c r="BS950" s="111"/>
      <c r="BT950" s="50"/>
      <c r="BU950" s="50"/>
      <c r="BV950" s="50"/>
      <c r="BW950" s="50"/>
      <c r="BX950" s="50"/>
      <c r="BY950" s="50"/>
      <c r="BZ950" s="50"/>
      <c r="CA950" s="50"/>
      <c r="CB950" s="50"/>
      <c r="CC950" s="50"/>
      <c r="CD950" s="50"/>
      <c r="CE950" s="50"/>
      <c r="CF950" s="50"/>
      <c r="CG950" s="50"/>
      <c r="CH950" s="50"/>
      <c r="CI950" s="50"/>
      <c r="CJ950" s="50"/>
      <c r="CK950" s="50"/>
      <c r="CL950" s="50"/>
      <c r="CM950" s="50"/>
      <c r="CN950" s="50"/>
      <c r="CO950" s="50"/>
      <c r="CP950" s="50"/>
      <c r="CQ950" s="50"/>
      <c r="CR950" s="50"/>
      <c r="CS950" s="50"/>
    </row>
    <row r="951" spans="1:97" ht="15" thickBot="1">
      <c r="A951" s="49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  <c r="BQ951" s="50"/>
      <c r="BR951" s="50"/>
      <c r="BS951" s="111"/>
      <c r="BT951" s="50"/>
      <c r="BU951" s="50"/>
      <c r="BV951" s="50"/>
      <c r="BW951" s="50"/>
      <c r="BX951" s="50"/>
      <c r="BY951" s="50"/>
      <c r="BZ951" s="50"/>
      <c r="CA951" s="50"/>
      <c r="CB951" s="50"/>
      <c r="CC951" s="50"/>
      <c r="CD951" s="50"/>
      <c r="CE951" s="50"/>
      <c r="CF951" s="50"/>
      <c r="CG951" s="50"/>
      <c r="CH951" s="50"/>
      <c r="CI951" s="50"/>
      <c r="CJ951" s="50"/>
      <c r="CK951" s="50"/>
      <c r="CL951" s="50"/>
      <c r="CM951" s="50"/>
      <c r="CN951" s="50"/>
      <c r="CO951" s="50"/>
      <c r="CP951" s="50"/>
      <c r="CQ951" s="50"/>
      <c r="CR951" s="50"/>
      <c r="CS951" s="50"/>
    </row>
    <row r="952" spans="1:97" ht="15" thickBot="1">
      <c r="A952" s="49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111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  <c r="CG952" s="50"/>
      <c r="CH952" s="50"/>
      <c r="CI952" s="50"/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</row>
    <row r="953" spans="1:97" ht="15" thickBot="1">
      <c r="A953" s="49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111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  <c r="CG953" s="50"/>
      <c r="CH953" s="50"/>
      <c r="CI953" s="50"/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</row>
    <row r="954" spans="1:97" ht="15" thickBot="1">
      <c r="A954" s="49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111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</row>
    <row r="955" spans="1:97" ht="15" thickBot="1">
      <c r="A955" s="49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  <c r="BQ955" s="50"/>
      <c r="BR955" s="50"/>
      <c r="BS955" s="111"/>
      <c r="BT955" s="50"/>
      <c r="BU955" s="50"/>
      <c r="BV955" s="50"/>
      <c r="BW955" s="50"/>
      <c r="BX955" s="50"/>
      <c r="BY955" s="50"/>
      <c r="BZ955" s="50"/>
      <c r="CA955" s="50"/>
      <c r="CB955" s="50"/>
      <c r="CC955" s="50"/>
      <c r="CD955" s="50"/>
      <c r="CE955" s="50"/>
      <c r="CF955" s="50"/>
      <c r="CG955" s="50"/>
      <c r="CH955" s="50"/>
      <c r="CI955" s="50"/>
      <c r="CJ955" s="50"/>
      <c r="CK955" s="50"/>
      <c r="CL955" s="50"/>
      <c r="CM955" s="50"/>
      <c r="CN955" s="50"/>
      <c r="CO955" s="50"/>
      <c r="CP955" s="50"/>
      <c r="CQ955" s="50"/>
      <c r="CR955" s="50"/>
      <c r="CS955" s="50"/>
    </row>
    <row r="956" spans="1:97" ht="15" thickBot="1">
      <c r="A956" s="49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  <c r="BQ956" s="50"/>
      <c r="BR956" s="50"/>
      <c r="BS956" s="111"/>
      <c r="BT956" s="50"/>
      <c r="BU956" s="50"/>
      <c r="BV956" s="50"/>
      <c r="BW956" s="50"/>
      <c r="BX956" s="50"/>
      <c r="BY956" s="50"/>
      <c r="BZ956" s="50"/>
      <c r="CA956" s="50"/>
      <c r="CB956" s="50"/>
      <c r="CC956" s="50"/>
      <c r="CD956" s="50"/>
      <c r="CE956" s="50"/>
      <c r="CF956" s="50"/>
      <c r="CG956" s="50"/>
      <c r="CH956" s="50"/>
      <c r="CI956" s="50"/>
      <c r="CJ956" s="50"/>
      <c r="CK956" s="50"/>
      <c r="CL956" s="50"/>
      <c r="CM956" s="50"/>
      <c r="CN956" s="50"/>
      <c r="CO956" s="50"/>
      <c r="CP956" s="50"/>
      <c r="CQ956" s="50"/>
      <c r="CR956" s="50"/>
      <c r="CS956" s="50"/>
    </row>
    <row r="957" spans="1:97" ht="15" thickBot="1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  <c r="BQ957" s="50"/>
      <c r="BR957" s="50"/>
      <c r="BS957" s="111"/>
      <c r="BT957" s="50"/>
      <c r="BU957" s="50"/>
      <c r="BV957" s="50"/>
      <c r="BW957" s="50"/>
      <c r="BX957" s="50"/>
      <c r="BY957" s="50"/>
      <c r="BZ957" s="50"/>
      <c r="CA957" s="50"/>
      <c r="CB957" s="50"/>
      <c r="CC957" s="50"/>
      <c r="CD957" s="50"/>
      <c r="CE957" s="50"/>
      <c r="CF957" s="50"/>
      <c r="CG957" s="50"/>
      <c r="CH957" s="50"/>
      <c r="CI957" s="50"/>
      <c r="CJ957" s="50"/>
      <c r="CK957" s="50"/>
      <c r="CL957" s="50"/>
      <c r="CM957" s="50"/>
      <c r="CN957" s="50"/>
      <c r="CO957" s="50"/>
      <c r="CP957" s="50"/>
      <c r="CQ957" s="50"/>
      <c r="CR957" s="50"/>
      <c r="CS957" s="50"/>
    </row>
    <row r="958" spans="1:97" ht="15" thickBot="1">
      <c r="A958" s="49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  <c r="BQ958" s="50"/>
      <c r="BR958" s="50"/>
      <c r="BS958" s="111"/>
      <c r="BT958" s="50"/>
      <c r="BU958" s="50"/>
      <c r="BV958" s="50"/>
      <c r="BW958" s="50"/>
      <c r="BX958" s="50"/>
      <c r="BY958" s="50"/>
      <c r="BZ958" s="50"/>
      <c r="CA958" s="50"/>
      <c r="CB958" s="50"/>
      <c r="CC958" s="50"/>
      <c r="CD958" s="50"/>
      <c r="CE958" s="50"/>
      <c r="CF958" s="50"/>
      <c r="CG958" s="50"/>
      <c r="CH958" s="50"/>
      <c r="CI958" s="50"/>
      <c r="CJ958" s="50"/>
      <c r="CK958" s="50"/>
      <c r="CL958" s="50"/>
      <c r="CM958" s="50"/>
      <c r="CN958" s="50"/>
      <c r="CO958" s="50"/>
      <c r="CP958" s="50"/>
      <c r="CQ958" s="50"/>
      <c r="CR958" s="50"/>
      <c r="CS958" s="50"/>
    </row>
    <row r="959" spans="1:97" ht="15" thickBot="1">
      <c r="A959" s="49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  <c r="BQ959" s="50"/>
      <c r="BR959" s="50"/>
      <c r="BS959" s="111"/>
      <c r="BT959" s="50"/>
      <c r="BU959" s="50"/>
      <c r="BV959" s="50"/>
      <c r="BW959" s="50"/>
      <c r="BX959" s="50"/>
      <c r="BY959" s="50"/>
      <c r="BZ959" s="50"/>
      <c r="CA959" s="50"/>
      <c r="CB959" s="50"/>
      <c r="CC959" s="50"/>
      <c r="CD959" s="50"/>
      <c r="CE959" s="50"/>
      <c r="CF959" s="50"/>
      <c r="CG959" s="50"/>
      <c r="CH959" s="50"/>
      <c r="CI959" s="50"/>
      <c r="CJ959" s="50"/>
      <c r="CK959" s="50"/>
      <c r="CL959" s="50"/>
      <c r="CM959" s="50"/>
      <c r="CN959" s="50"/>
      <c r="CO959" s="50"/>
      <c r="CP959" s="50"/>
      <c r="CQ959" s="50"/>
      <c r="CR959" s="50"/>
      <c r="CS959" s="50"/>
    </row>
    <row r="960" spans="1:97" ht="15" thickBot="1">
      <c r="A960" s="49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  <c r="BQ960" s="50"/>
      <c r="BR960" s="50"/>
      <c r="BS960" s="111"/>
      <c r="BT960" s="50"/>
      <c r="BU960" s="50"/>
      <c r="BV960" s="50"/>
      <c r="BW960" s="50"/>
      <c r="BX960" s="50"/>
      <c r="BY960" s="50"/>
      <c r="BZ960" s="50"/>
      <c r="CA960" s="50"/>
      <c r="CB960" s="50"/>
      <c r="CC960" s="50"/>
      <c r="CD960" s="50"/>
      <c r="CE960" s="50"/>
      <c r="CF960" s="50"/>
      <c r="CG960" s="50"/>
      <c r="CH960" s="50"/>
      <c r="CI960" s="50"/>
      <c r="CJ960" s="50"/>
      <c r="CK960" s="50"/>
      <c r="CL960" s="50"/>
      <c r="CM960" s="50"/>
      <c r="CN960" s="50"/>
      <c r="CO960" s="50"/>
      <c r="CP960" s="50"/>
      <c r="CQ960" s="50"/>
      <c r="CR960" s="50"/>
      <c r="CS960" s="50"/>
    </row>
    <row r="961" spans="1:97" ht="15" thickBot="1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  <c r="BQ961" s="50"/>
      <c r="BR961" s="50"/>
      <c r="BS961" s="111"/>
      <c r="BT961" s="50"/>
      <c r="BU961" s="50"/>
      <c r="BV961" s="50"/>
      <c r="BW961" s="50"/>
      <c r="BX961" s="50"/>
      <c r="BY961" s="50"/>
      <c r="BZ961" s="50"/>
      <c r="CA961" s="50"/>
      <c r="CB961" s="50"/>
      <c r="CC961" s="50"/>
      <c r="CD961" s="50"/>
      <c r="CE961" s="50"/>
      <c r="CF961" s="50"/>
      <c r="CG961" s="50"/>
      <c r="CH961" s="50"/>
      <c r="CI961" s="50"/>
      <c r="CJ961" s="50"/>
      <c r="CK961" s="50"/>
      <c r="CL961" s="50"/>
      <c r="CM961" s="50"/>
      <c r="CN961" s="50"/>
      <c r="CO961" s="50"/>
      <c r="CP961" s="50"/>
      <c r="CQ961" s="50"/>
      <c r="CR961" s="50"/>
      <c r="CS961" s="50"/>
    </row>
    <row r="962" spans="1:97" ht="15" thickBot="1">
      <c r="A962" s="49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  <c r="BQ962" s="50"/>
      <c r="BR962" s="50"/>
      <c r="BS962" s="111"/>
      <c r="BT962" s="50"/>
      <c r="BU962" s="50"/>
      <c r="BV962" s="50"/>
      <c r="BW962" s="50"/>
      <c r="BX962" s="50"/>
      <c r="BY962" s="50"/>
      <c r="BZ962" s="50"/>
      <c r="CA962" s="50"/>
      <c r="CB962" s="50"/>
      <c r="CC962" s="50"/>
      <c r="CD962" s="50"/>
      <c r="CE962" s="50"/>
      <c r="CF962" s="50"/>
      <c r="CG962" s="50"/>
      <c r="CH962" s="50"/>
      <c r="CI962" s="50"/>
      <c r="CJ962" s="50"/>
      <c r="CK962" s="50"/>
      <c r="CL962" s="50"/>
      <c r="CM962" s="50"/>
      <c r="CN962" s="50"/>
      <c r="CO962" s="50"/>
      <c r="CP962" s="50"/>
      <c r="CQ962" s="50"/>
      <c r="CR962" s="50"/>
      <c r="CS962" s="50"/>
    </row>
    <row r="963" spans="1:97" ht="15" thickBot="1">
      <c r="A963" s="49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  <c r="BQ963" s="50"/>
      <c r="BR963" s="50"/>
      <c r="BS963" s="111"/>
      <c r="BT963" s="50"/>
      <c r="BU963" s="50"/>
      <c r="BV963" s="50"/>
      <c r="BW963" s="50"/>
      <c r="BX963" s="50"/>
      <c r="BY963" s="50"/>
      <c r="BZ963" s="50"/>
      <c r="CA963" s="50"/>
      <c r="CB963" s="50"/>
      <c r="CC963" s="50"/>
      <c r="CD963" s="50"/>
      <c r="CE963" s="50"/>
      <c r="CF963" s="50"/>
      <c r="CG963" s="50"/>
      <c r="CH963" s="50"/>
      <c r="CI963" s="50"/>
      <c r="CJ963" s="50"/>
      <c r="CK963" s="50"/>
      <c r="CL963" s="50"/>
      <c r="CM963" s="50"/>
      <c r="CN963" s="50"/>
      <c r="CO963" s="50"/>
      <c r="CP963" s="50"/>
      <c r="CQ963" s="50"/>
      <c r="CR963" s="50"/>
      <c r="CS963" s="50"/>
    </row>
    <row r="964" spans="1:97" ht="15" thickBot="1">
      <c r="A964" s="49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  <c r="BQ964" s="50"/>
      <c r="BR964" s="50"/>
      <c r="BS964" s="111"/>
      <c r="BT964" s="50"/>
      <c r="BU964" s="50"/>
      <c r="BV964" s="50"/>
      <c r="BW964" s="50"/>
      <c r="BX964" s="50"/>
      <c r="BY964" s="50"/>
      <c r="BZ964" s="50"/>
      <c r="CA964" s="50"/>
      <c r="CB964" s="50"/>
      <c r="CC964" s="50"/>
      <c r="CD964" s="50"/>
      <c r="CE964" s="50"/>
      <c r="CF964" s="50"/>
      <c r="CG964" s="50"/>
      <c r="CH964" s="50"/>
      <c r="CI964" s="50"/>
      <c r="CJ964" s="50"/>
      <c r="CK964" s="50"/>
      <c r="CL964" s="50"/>
      <c r="CM964" s="50"/>
      <c r="CN964" s="50"/>
      <c r="CO964" s="50"/>
      <c r="CP964" s="50"/>
      <c r="CQ964" s="50"/>
      <c r="CR964" s="50"/>
      <c r="CS964" s="50"/>
    </row>
    <row r="965" spans="1:97" ht="15" thickBot="1">
      <c r="A965" s="49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  <c r="BQ965" s="50"/>
      <c r="BR965" s="50"/>
      <c r="BS965" s="111"/>
      <c r="BT965" s="50"/>
      <c r="BU965" s="50"/>
      <c r="BV965" s="50"/>
      <c r="BW965" s="50"/>
      <c r="BX965" s="50"/>
      <c r="BY965" s="50"/>
      <c r="BZ965" s="50"/>
      <c r="CA965" s="50"/>
      <c r="CB965" s="50"/>
      <c r="CC965" s="50"/>
      <c r="CD965" s="50"/>
      <c r="CE965" s="50"/>
      <c r="CF965" s="50"/>
      <c r="CG965" s="50"/>
      <c r="CH965" s="50"/>
      <c r="CI965" s="50"/>
      <c r="CJ965" s="50"/>
      <c r="CK965" s="50"/>
      <c r="CL965" s="50"/>
      <c r="CM965" s="50"/>
      <c r="CN965" s="50"/>
      <c r="CO965" s="50"/>
      <c r="CP965" s="50"/>
      <c r="CQ965" s="50"/>
      <c r="CR965" s="50"/>
      <c r="CS965" s="50"/>
    </row>
    <row r="966" spans="1:97" ht="15" thickBot="1">
      <c r="A966" s="49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  <c r="BQ966" s="50"/>
      <c r="BR966" s="50"/>
      <c r="BS966" s="111"/>
      <c r="BT966" s="50"/>
      <c r="BU966" s="50"/>
      <c r="BV966" s="50"/>
      <c r="BW966" s="50"/>
      <c r="BX966" s="50"/>
      <c r="BY966" s="50"/>
      <c r="BZ966" s="50"/>
      <c r="CA966" s="50"/>
      <c r="CB966" s="50"/>
      <c r="CC966" s="50"/>
      <c r="CD966" s="50"/>
      <c r="CE966" s="50"/>
      <c r="CF966" s="50"/>
      <c r="CG966" s="50"/>
      <c r="CH966" s="50"/>
      <c r="CI966" s="50"/>
      <c r="CJ966" s="50"/>
      <c r="CK966" s="50"/>
      <c r="CL966" s="50"/>
      <c r="CM966" s="50"/>
      <c r="CN966" s="50"/>
      <c r="CO966" s="50"/>
      <c r="CP966" s="50"/>
      <c r="CQ966" s="50"/>
      <c r="CR966" s="50"/>
      <c r="CS966" s="50"/>
    </row>
    <row r="967" spans="1:97" ht="15" thickBot="1">
      <c r="A967" s="49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  <c r="BQ967" s="50"/>
      <c r="BR967" s="50"/>
      <c r="BS967" s="111"/>
      <c r="BT967" s="50"/>
      <c r="BU967" s="50"/>
      <c r="BV967" s="50"/>
      <c r="BW967" s="50"/>
      <c r="BX967" s="50"/>
      <c r="BY967" s="50"/>
      <c r="BZ967" s="50"/>
      <c r="CA967" s="50"/>
      <c r="CB967" s="50"/>
      <c r="CC967" s="50"/>
      <c r="CD967" s="50"/>
      <c r="CE967" s="50"/>
      <c r="CF967" s="50"/>
      <c r="CG967" s="50"/>
      <c r="CH967" s="50"/>
      <c r="CI967" s="50"/>
      <c r="CJ967" s="50"/>
      <c r="CK967" s="50"/>
      <c r="CL967" s="50"/>
      <c r="CM967" s="50"/>
      <c r="CN967" s="50"/>
      <c r="CO967" s="50"/>
      <c r="CP967" s="50"/>
      <c r="CQ967" s="50"/>
      <c r="CR967" s="50"/>
      <c r="CS967" s="50"/>
    </row>
    <row r="968" spans="1:97" ht="15" thickBot="1">
      <c r="A968" s="49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  <c r="BQ968" s="50"/>
      <c r="BR968" s="50"/>
      <c r="BS968" s="111"/>
      <c r="BT968" s="50"/>
      <c r="BU968" s="50"/>
      <c r="BV968" s="50"/>
      <c r="BW968" s="50"/>
      <c r="BX968" s="50"/>
      <c r="BY968" s="50"/>
      <c r="BZ968" s="50"/>
      <c r="CA968" s="50"/>
      <c r="CB968" s="50"/>
      <c r="CC968" s="50"/>
      <c r="CD968" s="50"/>
      <c r="CE968" s="50"/>
      <c r="CF968" s="50"/>
      <c r="CG968" s="50"/>
      <c r="CH968" s="50"/>
      <c r="CI968" s="50"/>
      <c r="CJ968" s="50"/>
      <c r="CK968" s="50"/>
      <c r="CL968" s="50"/>
      <c r="CM968" s="50"/>
      <c r="CN968" s="50"/>
      <c r="CO968" s="50"/>
      <c r="CP968" s="50"/>
      <c r="CQ968" s="50"/>
      <c r="CR968" s="50"/>
      <c r="CS968" s="50"/>
    </row>
    <row r="969" spans="1:97" ht="15" thickBot="1">
      <c r="A969" s="49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  <c r="BQ969" s="50"/>
      <c r="BR969" s="50"/>
      <c r="BS969" s="111"/>
      <c r="BT969" s="50"/>
      <c r="BU969" s="50"/>
      <c r="BV969" s="50"/>
      <c r="BW969" s="50"/>
      <c r="BX969" s="50"/>
      <c r="BY969" s="50"/>
      <c r="BZ969" s="50"/>
      <c r="CA969" s="50"/>
      <c r="CB969" s="50"/>
      <c r="CC969" s="50"/>
      <c r="CD969" s="50"/>
      <c r="CE969" s="50"/>
      <c r="CF969" s="50"/>
      <c r="CG969" s="50"/>
      <c r="CH969" s="50"/>
      <c r="CI969" s="50"/>
      <c r="CJ969" s="50"/>
      <c r="CK969" s="50"/>
      <c r="CL969" s="50"/>
      <c r="CM969" s="50"/>
      <c r="CN969" s="50"/>
      <c r="CO969" s="50"/>
      <c r="CP969" s="50"/>
      <c r="CQ969" s="50"/>
      <c r="CR969" s="50"/>
      <c r="CS969" s="50"/>
    </row>
    <row r="970" spans="1:97" ht="15" thickBot="1">
      <c r="A970" s="49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  <c r="BQ970" s="50"/>
      <c r="BR970" s="50"/>
      <c r="BS970" s="111"/>
      <c r="BT970" s="50"/>
      <c r="BU970" s="50"/>
      <c r="BV970" s="50"/>
      <c r="BW970" s="50"/>
      <c r="BX970" s="50"/>
      <c r="BY970" s="50"/>
      <c r="BZ970" s="50"/>
      <c r="CA970" s="50"/>
      <c r="CB970" s="50"/>
      <c r="CC970" s="50"/>
      <c r="CD970" s="50"/>
      <c r="CE970" s="50"/>
      <c r="CF970" s="50"/>
      <c r="CG970" s="50"/>
      <c r="CH970" s="50"/>
      <c r="CI970" s="50"/>
      <c r="CJ970" s="50"/>
      <c r="CK970" s="50"/>
      <c r="CL970" s="50"/>
      <c r="CM970" s="50"/>
      <c r="CN970" s="50"/>
      <c r="CO970" s="50"/>
      <c r="CP970" s="50"/>
      <c r="CQ970" s="50"/>
      <c r="CR970" s="50"/>
      <c r="CS970" s="50"/>
    </row>
    <row r="971" spans="1:97" ht="15" thickBot="1">
      <c r="A971" s="49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  <c r="BQ971" s="50"/>
      <c r="BR971" s="50"/>
      <c r="BS971" s="111"/>
      <c r="BT971" s="50"/>
      <c r="BU971" s="50"/>
      <c r="BV971" s="50"/>
      <c r="BW971" s="50"/>
      <c r="BX971" s="50"/>
      <c r="BY971" s="50"/>
      <c r="BZ971" s="50"/>
      <c r="CA971" s="50"/>
      <c r="CB971" s="50"/>
      <c r="CC971" s="50"/>
      <c r="CD971" s="50"/>
      <c r="CE971" s="50"/>
      <c r="CF971" s="50"/>
      <c r="CG971" s="50"/>
      <c r="CH971" s="50"/>
      <c r="CI971" s="50"/>
      <c r="CJ971" s="50"/>
      <c r="CK971" s="50"/>
      <c r="CL971" s="50"/>
      <c r="CM971" s="50"/>
      <c r="CN971" s="50"/>
      <c r="CO971" s="50"/>
      <c r="CP971" s="50"/>
      <c r="CQ971" s="50"/>
      <c r="CR971" s="50"/>
      <c r="CS971" s="50"/>
    </row>
    <row r="972" spans="1:97" ht="15" thickBot="1">
      <c r="A972" s="49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  <c r="BQ972" s="50"/>
      <c r="BR972" s="50"/>
      <c r="BS972" s="111"/>
      <c r="BT972" s="50"/>
      <c r="BU972" s="50"/>
      <c r="BV972" s="50"/>
      <c r="BW972" s="50"/>
      <c r="BX972" s="50"/>
      <c r="BY972" s="50"/>
      <c r="BZ972" s="50"/>
      <c r="CA972" s="50"/>
      <c r="CB972" s="50"/>
      <c r="CC972" s="50"/>
      <c r="CD972" s="50"/>
      <c r="CE972" s="50"/>
      <c r="CF972" s="50"/>
      <c r="CG972" s="50"/>
      <c r="CH972" s="50"/>
      <c r="CI972" s="50"/>
      <c r="CJ972" s="50"/>
      <c r="CK972" s="50"/>
      <c r="CL972" s="50"/>
      <c r="CM972" s="50"/>
      <c r="CN972" s="50"/>
      <c r="CO972" s="50"/>
      <c r="CP972" s="50"/>
      <c r="CQ972" s="50"/>
      <c r="CR972" s="50"/>
      <c r="CS972" s="50"/>
    </row>
    <row r="973" spans="1:97" ht="15" thickBot="1">
      <c r="A973" s="49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  <c r="BQ973" s="50"/>
      <c r="BR973" s="50"/>
      <c r="BS973" s="111"/>
      <c r="BT973" s="50"/>
      <c r="BU973" s="50"/>
      <c r="BV973" s="50"/>
      <c r="BW973" s="50"/>
      <c r="BX973" s="50"/>
      <c r="BY973" s="50"/>
      <c r="BZ973" s="50"/>
      <c r="CA973" s="50"/>
      <c r="CB973" s="50"/>
      <c r="CC973" s="50"/>
      <c r="CD973" s="50"/>
      <c r="CE973" s="50"/>
      <c r="CF973" s="50"/>
      <c r="CG973" s="50"/>
      <c r="CH973" s="50"/>
      <c r="CI973" s="50"/>
      <c r="CJ973" s="50"/>
      <c r="CK973" s="50"/>
      <c r="CL973" s="50"/>
      <c r="CM973" s="50"/>
      <c r="CN973" s="50"/>
      <c r="CO973" s="50"/>
      <c r="CP973" s="50"/>
      <c r="CQ973" s="50"/>
      <c r="CR973" s="50"/>
      <c r="CS973" s="50"/>
    </row>
    <row r="974" spans="1:97" ht="15" thickBot="1">
      <c r="A974" s="49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  <c r="BQ974" s="50"/>
      <c r="BR974" s="50"/>
      <c r="BS974" s="111"/>
      <c r="BT974" s="50"/>
      <c r="BU974" s="50"/>
      <c r="BV974" s="50"/>
      <c r="BW974" s="50"/>
      <c r="BX974" s="50"/>
      <c r="BY974" s="50"/>
      <c r="BZ974" s="50"/>
      <c r="CA974" s="50"/>
      <c r="CB974" s="50"/>
      <c r="CC974" s="50"/>
      <c r="CD974" s="50"/>
      <c r="CE974" s="50"/>
      <c r="CF974" s="50"/>
      <c r="CG974" s="50"/>
      <c r="CH974" s="50"/>
      <c r="CI974" s="50"/>
      <c r="CJ974" s="50"/>
      <c r="CK974" s="50"/>
      <c r="CL974" s="50"/>
      <c r="CM974" s="50"/>
      <c r="CN974" s="50"/>
      <c r="CO974" s="50"/>
      <c r="CP974" s="50"/>
      <c r="CQ974" s="50"/>
      <c r="CR974" s="50"/>
      <c r="CS974" s="50"/>
    </row>
    <row r="975" spans="1:97" ht="15" thickBot="1">
      <c r="A975" s="49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  <c r="BQ975" s="50"/>
      <c r="BR975" s="50"/>
      <c r="BS975" s="111"/>
      <c r="BT975" s="50"/>
      <c r="BU975" s="50"/>
      <c r="BV975" s="50"/>
      <c r="BW975" s="50"/>
      <c r="BX975" s="50"/>
      <c r="BY975" s="50"/>
      <c r="BZ975" s="50"/>
      <c r="CA975" s="50"/>
      <c r="CB975" s="50"/>
      <c r="CC975" s="50"/>
      <c r="CD975" s="50"/>
      <c r="CE975" s="50"/>
      <c r="CF975" s="50"/>
      <c r="CG975" s="50"/>
      <c r="CH975" s="50"/>
      <c r="CI975" s="50"/>
      <c r="CJ975" s="50"/>
      <c r="CK975" s="50"/>
      <c r="CL975" s="50"/>
      <c r="CM975" s="50"/>
      <c r="CN975" s="50"/>
      <c r="CO975" s="50"/>
      <c r="CP975" s="50"/>
      <c r="CQ975" s="50"/>
      <c r="CR975" s="50"/>
      <c r="CS975" s="50"/>
    </row>
    <row r="976" spans="1:97" ht="15" thickBot="1">
      <c r="A976" s="49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  <c r="BQ976" s="50"/>
      <c r="BR976" s="50"/>
      <c r="BS976" s="111"/>
      <c r="BT976" s="50"/>
      <c r="BU976" s="50"/>
      <c r="BV976" s="50"/>
      <c r="BW976" s="50"/>
      <c r="BX976" s="50"/>
      <c r="BY976" s="50"/>
      <c r="BZ976" s="50"/>
      <c r="CA976" s="50"/>
      <c r="CB976" s="50"/>
      <c r="CC976" s="50"/>
      <c r="CD976" s="50"/>
      <c r="CE976" s="50"/>
      <c r="CF976" s="50"/>
      <c r="CG976" s="50"/>
      <c r="CH976" s="50"/>
      <c r="CI976" s="50"/>
      <c r="CJ976" s="50"/>
      <c r="CK976" s="50"/>
      <c r="CL976" s="50"/>
      <c r="CM976" s="50"/>
      <c r="CN976" s="50"/>
      <c r="CO976" s="50"/>
      <c r="CP976" s="50"/>
      <c r="CQ976" s="50"/>
      <c r="CR976" s="50"/>
      <c r="CS976" s="50"/>
    </row>
    <row r="977" spans="1:97" ht="15" thickBot="1">
      <c r="A977" s="49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  <c r="BQ977" s="50"/>
      <c r="BR977" s="50"/>
      <c r="BS977" s="111"/>
      <c r="BT977" s="50"/>
      <c r="BU977" s="50"/>
      <c r="BV977" s="50"/>
      <c r="BW977" s="50"/>
      <c r="BX977" s="50"/>
      <c r="BY977" s="50"/>
      <c r="BZ977" s="50"/>
      <c r="CA977" s="50"/>
      <c r="CB977" s="50"/>
      <c r="CC977" s="50"/>
      <c r="CD977" s="50"/>
      <c r="CE977" s="50"/>
      <c r="CF977" s="50"/>
      <c r="CG977" s="50"/>
      <c r="CH977" s="50"/>
      <c r="CI977" s="50"/>
      <c r="CJ977" s="50"/>
      <c r="CK977" s="50"/>
      <c r="CL977" s="50"/>
      <c r="CM977" s="50"/>
      <c r="CN977" s="50"/>
      <c r="CO977" s="50"/>
      <c r="CP977" s="50"/>
      <c r="CQ977" s="50"/>
      <c r="CR977" s="50"/>
      <c r="CS977" s="50"/>
    </row>
    <row r="978" spans="1:97" ht="15" thickBot="1">
      <c r="A978" s="49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  <c r="BQ978" s="50"/>
      <c r="BR978" s="50"/>
      <c r="BS978" s="111"/>
      <c r="BT978" s="50"/>
      <c r="BU978" s="50"/>
      <c r="BV978" s="50"/>
      <c r="BW978" s="50"/>
      <c r="BX978" s="50"/>
      <c r="BY978" s="50"/>
      <c r="BZ978" s="50"/>
      <c r="CA978" s="50"/>
      <c r="CB978" s="50"/>
      <c r="CC978" s="50"/>
      <c r="CD978" s="50"/>
      <c r="CE978" s="50"/>
      <c r="CF978" s="50"/>
      <c r="CG978" s="50"/>
      <c r="CH978" s="50"/>
      <c r="CI978" s="50"/>
      <c r="CJ978" s="50"/>
      <c r="CK978" s="50"/>
      <c r="CL978" s="50"/>
      <c r="CM978" s="50"/>
      <c r="CN978" s="50"/>
      <c r="CO978" s="50"/>
      <c r="CP978" s="50"/>
      <c r="CQ978" s="50"/>
      <c r="CR978" s="50"/>
      <c r="CS978" s="50"/>
    </row>
    <row r="979" spans="1:97" ht="15" thickBot="1">
      <c r="A979" s="49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  <c r="BQ979" s="50"/>
      <c r="BR979" s="50"/>
      <c r="BS979" s="111"/>
      <c r="BT979" s="50"/>
      <c r="BU979" s="50"/>
      <c r="BV979" s="50"/>
      <c r="BW979" s="50"/>
      <c r="BX979" s="50"/>
      <c r="BY979" s="50"/>
      <c r="BZ979" s="50"/>
      <c r="CA979" s="50"/>
      <c r="CB979" s="50"/>
      <c r="CC979" s="50"/>
      <c r="CD979" s="50"/>
      <c r="CE979" s="50"/>
      <c r="CF979" s="50"/>
      <c r="CG979" s="50"/>
      <c r="CH979" s="50"/>
      <c r="CI979" s="50"/>
      <c r="CJ979" s="50"/>
      <c r="CK979" s="50"/>
      <c r="CL979" s="50"/>
      <c r="CM979" s="50"/>
      <c r="CN979" s="50"/>
      <c r="CO979" s="50"/>
      <c r="CP979" s="50"/>
      <c r="CQ979" s="50"/>
      <c r="CR979" s="50"/>
      <c r="CS979" s="50"/>
    </row>
    <row r="980" spans="1:97" ht="15" thickBot="1">
      <c r="A980" s="49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  <c r="BQ980" s="50"/>
      <c r="BR980" s="50"/>
      <c r="BS980" s="111"/>
      <c r="BT980" s="50"/>
      <c r="BU980" s="50"/>
      <c r="BV980" s="50"/>
      <c r="BW980" s="50"/>
      <c r="BX980" s="50"/>
      <c r="BY980" s="50"/>
      <c r="BZ980" s="50"/>
      <c r="CA980" s="50"/>
      <c r="CB980" s="50"/>
      <c r="CC980" s="50"/>
      <c r="CD980" s="50"/>
      <c r="CE980" s="50"/>
      <c r="CF980" s="50"/>
      <c r="CG980" s="50"/>
      <c r="CH980" s="50"/>
      <c r="CI980" s="50"/>
      <c r="CJ980" s="50"/>
      <c r="CK980" s="50"/>
      <c r="CL980" s="50"/>
      <c r="CM980" s="50"/>
      <c r="CN980" s="50"/>
      <c r="CO980" s="50"/>
      <c r="CP980" s="50"/>
      <c r="CQ980" s="50"/>
      <c r="CR980" s="50"/>
      <c r="CS980" s="50"/>
    </row>
    <row r="981" spans="1:97" ht="15" thickBot="1">
      <c r="A981" s="49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111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  <c r="CG981" s="50"/>
      <c r="CH981" s="50"/>
      <c r="CI981" s="50"/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</row>
    <row r="982" spans="1:97" ht="15" thickBot="1">
      <c r="A982" s="49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111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  <c r="CG982" s="50"/>
      <c r="CH982" s="50"/>
      <c r="CI982" s="50"/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</row>
    <row r="983" spans="1:97" ht="15" thickBot="1">
      <c r="A983" s="49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111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  <c r="CG983" s="50"/>
      <c r="CH983" s="50"/>
      <c r="CI983" s="50"/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</row>
    <row r="984" spans="1:97" ht="15" thickBot="1">
      <c r="A984" s="49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  <c r="BQ984" s="50"/>
      <c r="BR984" s="50"/>
      <c r="BS984" s="111"/>
      <c r="BT984" s="50"/>
      <c r="BU984" s="50"/>
      <c r="BV984" s="50"/>
      <c r="BW984" s="50"/>
      <c r="BX984" s="50"/>
      <c r="BY984" s="50"/>
      <c r="BZ984" s="50"/>
      <c r="CA984" s="50"/>
      <c r="CB984" s="50"/>
      <c r="CC984" s="50"/>
      <c r="CD984" s="50"/>
      <c r="CE984" s="50"/>
      <c r="CF984" s="50"/>
      <c r="CG984" s="50"/>
      <c r="CH984" s="50"/>
      <c r="CI984" s="50"/>
      <c r="CJ984" s="50"/>
      <c r="CK984" s="50"/>
      <c r="CL984" s="50"/>
      <c r="CM984" s="50"/>
      <c r="CN984" s="50"/>
      <c r="CO984" s="50"/>
      <c r="CP984" s="50"/>
      <c r="CQ984" s="50"/>
      <c r="CR984" s="50"/>
      <c r="CS984" s="50"/>
    </row>
    <row r="985" spans="1:97" ht="15" thickBot="1">
      <c r="A985" s="49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  <c r="BQ985" s="50"/>
      <c r="BR985" s="50"/>
      <c r="BS985" s="111"/>
      <c r="BT985" s="50"/>
      <c r="BU985" s="50"/>
      <c r="BV985" s="50"/>
      <c r="BW985" s="50"/>
      <c r="BX985" s="50"/>
      <c r="BY985" s="50"/>
      <c r="BZ985" s="50"/>
      <c r="CA985" s="50"/>
      <c r="CB985" s="50"/>
      <c r="CC985" s="50"/>
      <c r="CD985" s="50"/>
      <c r="CE985" s="50"/>
      <c r="CF985" s="50"/>
      <c r="CG985" s="50"/>
      <c r="CH985" s="50"/>
      <c r="CI985" s="50"/>
      <c r="CJ985" s="50"/>
      <c r="CK985" s="50"/>
      <c r="CL985" s="50"/>
      <c r="CM985" s="50"/>
      <c r="CN985" s="50"/>
      <c r="CO985" s="50"/>
      <c r="CP985" s="50"/>
      <c r="CQ985" s="50"/>
      <c r="CR985" s="50"/>
      <c r="CS985" s="50"/>
    </row>
    <row r="986" spans="1:97" ht="15" thickBot="1">
      <c r="A986" s="49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  <c r="BQ986" s="50"/>
      <c r="BR986" s="50"/>
      <c r="BS986" s="111"/>
      <c r="BT986" s="50"/>
      <c r="BU986" s="50"/>
      <c r="BV986" s="50"/>
      <c r="BW986" s="50"/>
      <c r="BX986" s="50"/>
      <c r="BY986" s="50"/>
      <c r="BZ986" s="50"/>
      <c r="CA986" s="50"/>
      <c r="CB986" s="50"/>
      <c r="CC986" s="50"/>
      <c r="CD986" s="50"/>
      <c r="CE986" s="50"/>
      <c r="CF986" s="50"/>
      <c r="CG986" s="50"/>
      <c r="CH986" s="50"/>
      <c r="CI986" s="50"/>
      <c r="CJ986" s="50"/>
      <c r="CK986" s="50"/>
      <c r="CL986" s="50"/>
      <c r="CM986" s="50"/>
      <c r="CN986" s="50"/>
      <c r="CO986" s="50"/>
      <c r="CP986" s="50"/>
      <c r="CQ986" s="50"/>
      <c r="CR986" s="50"/>
      <c r="CS986" s="50"/>
    </row>
    <row r="987" spans="1:97" ht="15" thickBot="1">
      <c r="A987" s="49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  <c r="BQ987" s="50"/>
      <c r="BR987" s="50"/>
      <c r="BS987" s="111"/>
      <c r="BT987" s="50"/>
      <c r="BU987" s="50"/>
      <c r="BV987" s="50"/>
      <c r="BW987" s="50"/>
      <c r="BX987" s="50"/>
      <c r="BY987" s="50"/>
      <c r="BZ987" s="50"/>
      <c r="CA987" s="50"/>
      <c r="CB987" s="50"/>
      <c r="CC987" s="50"/>
      <c r="CD987" s="50"/>
      <c r="CE987" s="50"/>
      <c r="CF987" s="50"/>
      <c r="CG987" s="50"/>
      <c r="CH987" s="50"/>
      <c r="CI987" s="50"/>
      <c r="CJ987" s="50"/>
      <c r="CK987" s="50"/>
      <c r="CL987" s="50"/>
      <c r="CM987" s="50"/>
      <c r="CN987" s="50"/>
      <c r="CO987" s="50"/>
      <c r="CP987" s="50"/>
      <c r="CQ987" s="50"/>
      <c r="CR987" s="50"/>
      <c r="CS987" s="50"/>
    </row>
    <row r="988" spans="1:97" ht="15" thickBot="1">
      <c r="A988" s="49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  <c r="BQ988" s="50"/>
      <c r="BR988" s="50"/>
      <c r="BS988" s="111"/>
      <c r="BT988" s="50"/>
      <c r="BU988" s="50"/>
      <c r="BV988" s="50"/>
      <c r="BW988" s="50"/>
      <c r="BX988" s="50"/>
      <c r="BY988" s="50"/>
      <c r="BZ988" s="50"/>
      <c r="CA988" s="50"/>
      <c r="CB988" s="50"/>
      <c r="CC988" s="50"/>
      <c r="CD988" s="50"/>
      <c r="CE988" s="50"/>
      <c r="CF988" s="50"/>
      <c r="CG988" s="50"/>
      <c r="CH988" s="50"/>
      <c r="CI988" s="50"/>
      <c r="CJ988" s="50"/>
      <c r="CK988" s="50"/>
      <c r="CL988" s="50"/>
      <c r="CM988" s="50"/>
      <c r="CN988" s="50"/>
      <c r="CO988" s="50"/>
      <c r="CP988" s="50"/>
      <c r="CQ988" s="50"/>
      <c r="CR988" s="50"/>
      <c r="CS988" s="50"/>
    </row>
    <row r="989" spans="1:97" ht="15" thickBot="1">
      <c r="A989" s="49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50"/>
      <c r="AW989" s="50"/>
      <c r="AX989" s="50"/>
      <c r="AY989" s="50"/>
      <c r="AZ989" s="50"/>
      <c r="BA989" s="50"/>
      <c r="BB989" s="50"/>
      <c r="BC989" s="50"/>
      <c r="BD989" s="50"/>
      <c r="BE989" s="50"/>
      <c r="BF989" s="50"/>
      <c r="BG989" s="50"/>
      <c r="BH989" s="50"/>
      <c r="BI989" s="50"/>
      <c r="BJ989" s="50"/>
      <c r="BK989" s="50"/>
      <c r="BL989" s="50"/>
      <c r="BM989" s="50"/>
      <c r="BN989" s="50"/>
      <c r="BO989" s="50"/>
      <c r="BP989" s="50"/>
      <c r="BQ989" s="50"/>
      <c r="BR989" s="50"/>
      <c r="BS989" s="111"/>
      <c r="BT989" s="50"/>
      <c r="BU989" s="50"/>
      <c r="BV989" s="50"/>
      <c r="BW989" s="50"/>
      <c r="BX989" s="50"/>
      <c r="BY989" s="50"/>
      <c r="BZ989" s="50"/>
      <c r="CA989" s="50"/>
      <c r="CB989" s="50"/>
      <c r="CC989" s="50"/>
      <c r="CD989" s="50"/>
      <c r="CE989" s="50"/>
      <c r="CF989" s="50"/>
      <c r="CG989" s="50"/>
      <c r="CH989" s="50"/>
      <c r="CI989" s="50"/>
      <c r="CJ989" s="50"/>
      <c r="CK989" s="50"/>
      <c r="CL989" s="50"/>
      <c r="CM989" s="50"/>
      <c r="CN989" s="50"/>
      <c r="CO989" s="50"/>
      <c r="CP989" s="50"/>
      <c r="CQ989" s="50"/>
      <c r="CR989" s="50"/>
      <c r="CS989" s="50"/>
    </row>
    <row r="990" spans="1:97" ht="15" thickBot="1">
      <c r="A990" s="49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50"/>
      <c r="AW990" s="50"/>
      <c r="AX990" s="50"/>
      <c r="AY990" s="50"/>
      <c r="AZ990" s="50"/>
      <c r="BA990" s="50"/>
      <c r="BB990" s="50"/>
      <c r="BC990" s="50"/>
      <c r="BD990" s="50"/>
      <c r="BE990" s="50"/>
      <c r="BF990" s="50"/>
      <c r="BG990" s="50"/>
      <c r="BH990" s="50"/>
      <c r="BI990" s="50"/>
      <c r="BJ990" s="50"/>
      <c r="BK990" s="50"/>
      <c r="BL990" s="50"/>
      <c r="BM990" s="50"/>
      <c r="BN990" s="50"/>
      <c r="BO990" s="50"/>
      <c r="BP990" s="50"/>
      <c r="BQ990" s="50"/>
      <c r="BR990" s="50"/>
      <c r="BS990" s="111"/>
      <c r="BT990" s="50"/>
      <c r="BU990" s="50"/>
      <c r="BV990" s="50"/>
      <c r="BW990" s="50"/>
      <c r="BX990" s="50"/>
      <c r="BY990" s="50"/>
      <c r="BZ990" s="50"/>
      <c r="CA990" s="50"/>
      <c r="CB990" s="50"/>
      <c r="CC990" s="50"/>
      <c r="CD990" s="50"/>
      <c r="CE990" s="50"/>
      <c r="CF990" s="50"/>
      <c r="CG990" s="50"/>
      <c r="CH990" s="50"/>
      <c r="CI990" s="50"/>
      <c r="CJ990" s="50"/>
      <c r="CK990" s="50"/>
      <c r="CL990" s="50"/>
      <c r="CM990" s="50"/>
      <c r="CN990" s="50"/>
      <c r="CO990" s="50"/>
      <c r="CP990" s="50"/>
      <c r="CQ990" s="50"/>
      <c r="CR990" s="50"/>
      <c r="CS990" s="50"/>
    </row>
    <row r="991" spans="1:97" ht="15" thickBot="1">
      <c r="A991" s="49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50"/>
      <c r="AW991" s="50"/>
      <c r="AX991" s="50"/>
      <c r="AY991" s="50"/>
      <c r="AZ991" s="50"/>
      <c r="BA991" s="50"/>
      <c r="BB991" s="50"/>
      <c r="BC991" s="50"/>
      <c r="BD991" s="50"/>
      <c r="BE991" s="50"/>
      <c r="BF991" s="50"/>
      <c r="BG991" s="50"/>
      <c r="BH991" s="50"/>
      <c r="BI991" s="50"/>
      <c r="BJ991" s="50"/>
      <c r="BK991" s="50"/>
      <c r="BL991" s="50"/>
      <c r="BM991" s="50"/>
      <c r="BN991" s="50"/>
      <c r="BO991" s="50"/>
      <c r="BP991" s="50"/>
      <c r="BQ991" s="50"/>
      <c r="BR991" s="50"/>
      <c r="BS991" s="111"/>
      <c r="BT991" s="50"/>
      <c r="BU991" s="50"/>
      <c r="BV991" s="50"/>
      <c r="BW991" s="50"/>
      <c r="BX991" s="50"/>
      <c r="BY991" s="50"/>
      <c r="BZ991" s="50"/>
      <c r="CA991" s="50"/>
      <c r="CB991" s="50"/>
      <c r="CC991" s="50"/>
      <c r="CD991" s="50"/>
      <c r="CE991" s="50"/>
      <c r="CF991" s="50"/>
      <c r="CG991" s="50"/>
      <c r="CH991" s="50"/>
      <c r="CI991" s="50"/>
      <c r="CJ991" s="50"/>
      <c r="CK991" s="50"/>
      <c r="CL991" s="50"/>
      <c r="CM991" s="50"/>
      <c r="CN991" s="50"/>
      <c r="CO991" s="50"/>
      <c r="CP991" s="50"/>
      <c r="CQ991" s="50"/>
      <c r="CR991" s="50"/>
      <c r="CS991" s="50"/>
    </row>
    <row r="992" spans="1:97" ht="15" thickBot="1">
      <c r="A992" s="49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50"/>
      <c r="AW992" s="50"/>
      <c r="AX992" s="50"/>
      <c r="AY992" s="50"/>
      <c r="AZ992" s="50"/>
      <c r="BA992" s="50"/>
      <c r="BB992" s="50"/>
      <c r="BC992" s="50"/>
      <c r="BD992" s="50"/>
      <c r="BE992" s="50"/>
      <c r="BF992" s="50"/>
      <c r="BG992" s="50"/>
      <c r="BH992" s="50"/>
      <c r="BI992" s="50"/>
      <c r="BJ992" s="50"/>
      <c r="BK992" s="50"/>
      <c r="BL992" s="50"/>
      <c r="BM992" s="50"/>
      <c r="BN992" s="50"/>
      <c r="BO992" s="50"/>
      <c r="BP992" s="50"/>
      <c r="BQ992" s="50"/>
      <c r="BR992" s="50"/>
      <c r="BS992" s="111"/>
      <c r="BT992" s="50"/>
      <c r="BU992" s="50"/>
      <c r="BV992" s="50"/>
      <c r="BW992" s="50"/>
      <c r="BX992" s="50"/>
      <c r="BY992" s="50"/>
      <c r="BZ992" s="50"/>
      <c r="CA992" s="50"/>
      <c r="CB992" s="50"/>
      <c r="CC992" s="50"/>
      <c r="CD992" s="50"/>
      <c r="CE992" s="50"/>
      <c r="CF992" s="50"/>
      <c r="CG992" s="50"/>
      <c r="CH992" s="50"/>
      <c r="CI992" s="50"/>
      <c r="CJ992" s="50"/>
      <c r="CK992" s="50"/>
      <c r="CL992" s="50"/>
      <c r="CM992" s="50"/>
      <c r="CN992" s="50"/>
      <c r="CO992" s="50"/>
      <c r="CP992" s="50"/>
      <c r="CQ992" s="50"/>
      <c r="CR992" s="50"/>
      <c r="CS992" s="50"/>
    </row>
    <row r="993" spans="1:97" ht="15" thickBot="1">
      <c r="A993" s="49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50"/>
      <c r="AW993" s="50"/>
      <c r="AX993" s="50"/>
      <c r="AY993" s="50"/>
      <c r="AZ993" s="50"/>
      <c r="BA993" s="50"/>
      <c r="BB993" s="50"/>
      <c r="BC993" s="50"/>
      <c r="BD993" s="50"/>
      <c r="BE993" s="50"/>
      <c r="BF993" s="50"/>
      <c r="BG993" s="50"/>
      <c r="BH993" s="50"/>
      <c r="BI993" s="50"/>
      <c r="BJ993" s="50"/>
      <c r="BK993" s="50"/>
      <c r="BL993" s="50"/>
      <c r="BM993" s="50"/>
      <c r="BN993" s="50"/>
      <c r="BO993" s="50"/>
      <c r="BP993" s="50"/>
      <c r="BQ993" s="50"/>
      <c r="BR993" s="50"/>
      <c r="BS993" s="111"/>
      <c r="BT993" s="50"/>
      <c r="BU993" s="50"/>
      <c r="BV993" s="50"/>
      <c r="BW993" s="50"/>
      <c r="BX993" s="50"/>
      <c r="BY993" s="50"/>
      <c r="BZ993" s="50"/>
      <c r="CA993" s="50"/>
      <c r="CB993" s="50"/>
      <c r="CC993" s="50"/>
      <c r="CD993" s="50"/>
      <c r="CE993" s="50"/>
      <c r="CF993" s="50"/>
      <c r="CG993" s="50"/>
      <c r="CH993" s="50"/>
      <c r="CI993" s="50"/>
      <c r="CJ993" s="50"/>
      <c r="CK993" s="50"/>
      <c r="CL993" s="50"/>
      <c r="CM993" s="50"/>
      <c r="CN993" s="50"/>
      <c r="CO993" s="50"/>
      <c r="CP993" s="50"/>
      <c r="CQ993" s="50"/>
      <c r="CR993" s="50"/>
      <c r="CS993" s="50"/>
    </row>
    <row r="994" spans="1:97" ht="15" thickBot="1">
      <c r="A994" s="49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50"/>
      <c r="AW994" s="50"/>
      <c r="AX994" s="50"/>
      <c r="AY994" s="50"/>
      <c r="AZ994" s="50"/>
      <c r="BA994" s="50"/>
      <c r="BB994" s="50"/>
      <c r="BC994" s="50"/>
      <c r="BD994" s="50"/>
      <c r="BE994" s="50"/>
      <c r="BF994" s="50"/>
      <c r="BG994" s="50"/>
      <c r="BH994" s="50"/>
      <c r="BI994" s="50"/>
      <c r="BJ994" s="50"/>
      <c r="BK994" s="50"/>
      <c r="BL994" s="50"/>
      <c r="BM994" s="50"/>
      <c r="BN994" s="50"/>
      <c r="BO994" s="50"/>
      <c r="BP994" s="50"/>
      <c r="BQ994" s="50"/>
      <c r="BR994" s="50"/>
      <c r="BS994" s="111"/>
      <c r="BT994" s="50"/>
      <c r="BU994" s="50"/>
      <c r="BV994" s="50"/>
      <c r="BW994" s="50"/>
      <c r="BX994" s="50"/>
      <c r="BY994" s="50"/>
      <c r="BZ994" s="50"/>
      <c r="CA994" s="50"/>
      <c r="CB994" s="50"/>
      <c r="CC994" s="50"/>
      <c r="CD994" s="50"/>
      <c r="CE994" s="50"/>
      <c r="CF994" s="50"/>
      <c r="CG994" s="50"/>
      <c r="CH994" s="50"/>
      <c r="CI994" s="50"/>
      <c r="CJ994" s="50"/>
      <c r="CK994" s="50"/>
      <c r="CL994" s="50"/>
      <c r="CM994" s="50"/>
      <c r="CN994" s="50"/>
      <c r="CO994" s="50"/>
      <c r="CP994" s="50"/>
      <c r="CQ994" s="50"/>
      <c r="CR994" s="50"/>
      <c r="CS994" s="50"/>
    </row>
    <row r="995" spans="1:97" ht="15" thickBot="1">
      <c r="A995" s="49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  <c r="BQ995" s="50"/>
      <c r="BR995" s="50"/>
      <c r="BS995" s="111"/>
      <c r="BT995" s="50"/>
      <c r="BU995" s="50"/>
      <c r="BV995" s="50"/>
      <c r="BW995" s="50"/>
      <c r="BX995" s="50"/>
      <c r="BY995" s="50"/>
      <c r="BZ995" s="50"/>
      <c r="CA995" s="50"/>
      <c r="CB995" s="50"/>
      <c r="CC995" s="50"/>
      <c r="CD995" s="50"/>
      <c r="CE995" s="50"/>
      <c r="CF995" s="50"/>
      <c r="CG995" s="50"/>
      <c r="CH995" s="50"/>
      <c r="CI995" s="50"/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</row>
    <row r="996" spans="1:97" ht="15" thickBot="1">
      <c r="A996" s="49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50"/>
      <c r="AW996" s="50"/>
      <c r="AX996" s="50"/>
      <c r="AY996" s="50"/>
      <c r="AZ996" s="50"/>
      <c r="BA996" s="50"/>
      <c r="BB996" s="50"/>
      <c r="BC996" s="50"/>
      <c r="BD996" s="50"/>
      <c r="BE996" s="50"/>
      <c r="BF996" s="50"/>
      <c r="BG996" s="50"/>
      <c r="BH996" s="50"/>
      <c r="BI996" s="50"/>
      <c r="BJ996" s="50"/>
      <c r="BK996" s="50"/>
      <c r="BL996" s="50"/>
      <c r="BM996" s="50"/>
      <c r="BN996" s="50"/>
      <c r="BO996" s="50"/>
      <c r="BP996" s="50"/>
      <c r="BQ996" s="50"/>
      <c r="BR996" s="50"/>
      <c r="BS996" s="111"/>
      <c r="BT996" s="50"/>
      <c r="BU996" s="50"/>
      <c r="BV996" s="50"/>
      <c r="BW996" s="50"/>
      <c r="BX996" s="50"/>
      <c r="BY996" s="50"/>
      <c r="BZ996" s="50"/>
      <c r="CA996" s="50"/>
      <c r="CB996" s="50"/>
      <c r="CC996" s="50"/>
      <c r="CD996" s="50"/>
      <c r="CE996" s="50"/>
      <c r="CF996" s="50"/>
      <c r="CG996" s="50"/>
      <c r="CH996" s="50"/>
      <c r="CI996" s="50"/>
      <c r="CJ996" s="50"/>
      <c r="CK996" s="50"/>
      <c r="CL996" s="50"/>
      <c r="CM996" s="50"/>
      <c r="CN996" s="50"/>
      <c r="CO996" s="50"/>
      <c r="CP996" s="50"/>
      <c r="CQ996" s="50"/>
      <c r="CR996" s="50"/>
      <c r="CS996" s="50"/>
    </row>
    <row r="997" spans="1:97" ht="15" thickBot="1">
      <c r="A997" s="49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50"/>
      <c r="AW997" s="50"/>
      <c r="AX997" s="50"/>
      <c r="AY997" s="50"/>
      <c r="AZ997" s="50"/>
      <c r="BA997" s="50"/>
      <c r="BB997" s="50"/>
      <c r="BC997" s="50"/>
      <c r="BD997" s="50"/>
      <c r="BE997" s="50"/>
      <c r="BF997" s="50"/>
      <c r="BG997" s="50"/>
      <c r="BH997" s="50"/>
      <c r="BI997" s="50"/>
      <c r="BJ997" s="50"/>
      <c r="BK997" s="50"/>
      <c r="BL997" s="50"/>
      <c r="BM997" s="50"/>
      <c r="BN997" s="50"/>
      <c r="BO997" s="50"/>
      <c r="BP997" s="50"/>
      <c r="BQ997" s="50"/>
      <c r="BR997" s="50"/>
      <c r="BS997" s="111"/>
      <c r="BT997" s="50"/>
      <c r="BU997" s="50"/>
      <c r="BV997" s="50"/>
      <c r="BW997" s="50"/>
      <c r="BX997" s="50"/>
      <c r="BY997" s="50"/>
      <c r="BZ997" s="50"/>
      <c r="CA997" s="50"/>
      <c r="CB997" s="50"/>
      <c r="CC997" s="50"/>
      <c r="CD997" s="50"/>
      <c r="CE997" s="50"/>
      <c r="CF997" s="50"/>
      <c r="CG997" s="50"/>
      <c r="CH997" s="50"/>
      <c r="CI997" s="50"/>
      <c r="CJ997" s="50"/>
      <c r="CK997" s="50"/>
      <c r="CL997" s="50"/>
      <c r="CM997" s="50"/>
      <c r="CN997" s="50"/>
      <c r="CO997" s="50"/>
      <c r="CP997" s="50"/>
      <c r="CQ997" s="50"/>
      <c r="CR997" s="50"/>
      <c r="CS997" s="50"/>
    </row>
    <row r="998" spans="1:97" ht="15" thickBot="1">
      <c r="A998" s="49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50"/>
      <c r="AW998" s="50"/>
      <c r="AX998" s="50"/>
      <c r="AY998" s="50"/>
      <c r="AZ998" s="50"/>
      <c r="BA998" s="50"/>
      <c r="BB998" s="50"/>
      <c r="BC998" s="50"/>
      <c r="BD998" s="50"/>
      <c r="BE998" s="50"/>
      <c r="BF998" s="50"/>
      <c r="BG998" s="50"/>
      <c r="BH998" s="50"/>
      <c r="BI998" s="50"/>
      <c r="BJ998" s="50"/>
      <c r="BK998" s="50"/>
      <c r="BL998" s="50"/>
      <c r="BM998" s="50"/>
      <c r="BN998" s="50"/>
      <c r="BO998" s="50"/>
      <c r="BP998" s="50"/>
      <c r="BQ998" s="50"/>
      <c r="BR998" s="50"/>
      <c r="BS998" s="111"/>
      <c r="BT998" s="50"/>
      <c r="BU998" s="50"/>
      <c r="BV998" s="50"/>
      <c r="BW998" s="50"/>
      <c r="BX998" s="50"/>
      <c r="BY998" s="50"/>
      <c r="BZ998" s="50"/>
      <c r="CA998" s="50"/>
      <c r="CB998" s="50"/>
      <c r="CC998" s="50"/>
      <c r="CD998" s="50"/>
      <c r="CE998" s="50"/>
      <c r="CF998" s="50"/>
      <c r="CG998" s="50"/>
      <c r="CH998" s="50"/>
      <c r="CI998" s="50"/>
      <c r="CJ998" s="50"/>
      <c r="CK998" s="50"/>
      <c r="CL998" s="50"/>
      <c r="CM998" s="50"/>
      <c r="CN998" s="50"/>
      <c r="CO998" s="50"/>
      <c r="CP998" s="50"/>
      <c r="CQ998" s="50"/>
      <c r="CR998" s="50"/>
      <c r="CS998" s="50"/>
    </row>
    <row r="999" spans="1:97" ht="15" thickBot="1">
      <c r="A999" s="49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50"/>
      <c r="AW999" s="50"/>
      <c r="AX999" s="50"/>
      <c r="AY999" s="50"/>
      <c r="AZ999" s="50"/>
      <c r="BA999" s="50"/>
      <c r="BB999" s="50"/>
      <c r="BC999" s="50"/>
      <c r="BD999" s="50"/>
      <c r="BE999" s="50"/>
      <c r="BF999" s="50"/>
      <c r="BG999" s="50"/>
      <c r="BH999" s="50"/>
      <c r="BI999" s="50"/>
      <c r="BJ999" s="50"/>
      <c r="BK999" s="50"/>
      <c r="BL999" s="50"/>
      <c r="BM999" s="50"/>
      <c r="BN999" s="50"/>
      <c r="BO999" s="50"/>
      <c r="BP999" s="50"/>
      <c r="BQ999" s="50"/>
      <c r="BR999" s="50"/>
      <c r="BS999" s="111"/>
      <c r="BT999" s="50"/>
      <c r="BU999" s="50"/>
      <c r="BV999" s="50"/>
      <c r="BW999" s="50"/>
      <c r="BX999" s="50"/>
      <c r="BY999" s="50"/>
      <c r="BZ999" s="50"/>
      <c r="CA999" s="50"/>
      <c r="CB999" s="50"/>
      <c r="CC999" s="50"/>
      <c r="CD999" s="50"/>
      <c r="CE999" s="50"/>
      <c r="CF999" s="50"/>
      <c r="CG999" s="50"/>
      <c r="CH999" s="50"/>
      <c r="CI999" s="50"/>
      <c r="CJ999" s="50"/>
      <c r="CK999" s="50"/>
      <c r="CL999" s="50"/>
      <c r="CM999" s="50"/>
      <c r="CN999" s="50"/>
      <c r="CO999" s="50"/>
      <c r="CP999" s="50"/>
      <c r="CQ999" s="50"/>
      <c r="CR999" s="50"/>
      <c r="CS999" s="50"/>
    </row>
    <row r="1000" spans="1:97" ht="15" thickBot="1">
      <c r="A1000" s="49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111"/>
      <c r="AJ1000" s="111"/>
      <c r="AK1000" s="111"/>
      <c r="AL1000" s="111"/>
      <c r="AM1000" s="111"/>
      <c r="AN1000" s="111"/>
      <c r="AO1000" s="111"/>
      <c r="AP1000" s="111"/>
      <c r="AQ1000" s="111"/>
      <c r="AR1000" s="111"/>
      <c r="AS1000" s="111"/>
      <c r="AT1000" s="111"/>
      <c r="AU1000" s="111"/>
      <c r="AV1000" s="50"/>
      <c r="AW1000" s="50"/>
      <c r="AX1000" s="50"/>
      <c r="AY1000" s="50"/>
      <c r="AZ1000" s="50"/>
      <c r="BA1000" s="50"/>
      <c r="BB1000" s="50"/>
      <c r="BC1000" s="50"/>
      <c r="BD1000" s="50"/>
      <c r="BE1000" s="50"/>
      <c r="BF1000" s="50"/>
      <c r="BG1000" s="50"/>
      <c r="BH1000" s="50"/>
      <c r="BI1000" s="50"/>
      <c r="BJ1000" s="50"/>
      <c r="BK1000" s="50"/>
      <c r="BL1000" s="50"/>
      <c r="BM1000" s="50"/>
      <c r="BN1000" s="50"/>
      <c r="BO1000" s="50"/>
      <c r="BP1000" s="50"/>
      <c r="BQ1000" s="50"/>
      <c r="BR1000" s="50"/>
      <c r="BS1000" s="111"/>
      <c r="BT1000" s="50"/>
      <c r="BU1000" s="50"/>
      <c r="BV1000" s="50"/>
      <c r="BW1000" s="50"/>
      <c r="BX1000" s="50"/>
      <c r="BY1000" s="50"/>
      <c r="BZ1000" s="50"/>
      <c r="CA1000" s="50"/>
      <c r="CB1000" s="50"/>
      <c r="CC1000" s="50"/>
      <c r="CD1000" s="50"/>
      <c r="CE1000" s="50"/>
      <c r="CF1000" s="50"/>
      <c r="CG1000" s="50"/>
      <c r="CH1000" s="50"/>
      <c r="CI1000" s="50"/>
      <c r="CJ1000" s="50"/>
      <c r="CK1000" s="50"/>
      <c r="CL1000" s="50"/>
      <c r="CM1000" s="50"/>
      <c r="CN1000" s="50"/>
      <c r="CO1000" s="50"/>
      <c r="CP1000" s="50"/>
      <c r="CQ1000" s="50"/>
      <c r="CR1000" s="50"/>
      <c r="CS1000" s="50"/>
    </row>
    <row r="1001" spans="1:97" ht="15" thickBot="1">
      <c r="A1001" s="49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111"/>
      <c r="AJ1001" s="111"/>
      <c r="AK1001" s="111"/>
      <c r="AL1001" s="111"/>
      <c r="AM1001" s="111"/>
      <c r="AN1001" s="111"/>
      <c r="AO1001" s="111"/>
      <c r="AP1001" s="111"/>
      <c r="AQ1001" s="111"/>
      <c r="AR1001" s="111"/>
      <c r="AS1001" s="111"/>
      <c r="AT1001" s="111"/>
      <c r="AU1001" s="111"/>
      <c r="AV1001" s="50"/>
      <c r="AW1001" s="50"/>
      <c r="AX1001" s="50"/>
      <c r="AY1001" s="50"/>
      <c r="AZ1001" s="50"/>
      <c r="BA1001" s="50"/>
      <c r="BB1001" s="50"/>
      <c r="BC1001" s="50"/>
      <c r="BD1001" s="50"/>
      <c r="BE1001" s="50"/>
      <c r="BF1001" s="50"/>
      <c r="BG1001" s="50"/>
      <c r="BH1001" s="50"/>
      <c r="BI1001" s="50"/>
      <c r="BJ1001" s="50"/>
      <c r="BK1001" s="50"/>
      <c r="BL1001" s="50"/>
      <c r="BM1001" s="50"/>
      <c r="BN1001" s="50"/>
      <c r="BO1001" s="50"/>
      <c r="BP1001" s="50"/>
      <c r="BQ1001" s="50"/>
      <c r="BR1001" s="50"/>
      <c r="BS1001" s="111"/>
      <c r="BT1001" s="50"/>
      <c r="BU1001" s="50"/>
      <c r="BV1001" s="50"/>
      <c r="BW1001" s="50"/>
      <c r="BX1001" s="50"/>
      <c r="BY1001" s="50"/>
      <c r="BZ1001" s="50"/>
      <c r="CA1001" s="50"/>
      <c r="CB1001" s="50"/>
      <c r="CC1001" s="50"/>
      <c r="CD1001" s="50"/>
      <c r="CE1001" s="50"/>
      <c r="CF1001" s="50"/>
      <c r="CG1001" s="50"/>
      <c r="CH1001" s="50"/>
      <c r="CI1001" s="50"/>
      <c r="CJ1001" s="50"/>
      <c r="CK1001" s="50"/>
      <c r="CL1001" s="50"/>
      <c r="CM1001" s="50"/>
      <c r="CN1001" s="50"/>
      <c r="CO1001" s="50"/>
      <c r="CP1001" s="50"/>
      <c r="CQ1001" s="50"/>
      <c r="CR1001" s="50"/>
      <c r="CS1001" s="50"/>
    </row>
    <row r="1002" spans="1:97" ht="15" thickBot="1">
      <c r="A1002" s="49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111"/>
      <c r="AJ1002" s="111"/>
      <c r="AK1002" s="111"/>
      <c r="AL1002" s="111"/>
      <c r="AM1002" s="111"/>
      <c r="AN1002" s="111"/>
      <c r="AO1002" s="111"/>
      <c r="AP1002" s="111"/>
      <c r="AQ1002" s="111"/>
      <c r="AR1002" s="111"/>
      <c r="AS1002" s="111"/>
      <c r="AT1002" s="111"/>
      <c r="AU1002" s="111"/>
      <c r="AV1002" s="50"/>
      <c r="AW1002" s="50"/>
      <c r="AX1002" s="50"/>
      <c r="AY1002" s="50"/>
      <c r="AZ1002" s="50"/>
      <c r="BA1002" s="50"/>
      <c r="BB1002" s="50"/>
      <c r="BC1002" s="50"/>
      <c r="BD1002" s="50"/>
      <c r="BE1002" s="50"/>
      <c r="BF1002" s="50"/>
      <c r="BG1002" s="50"/>
      <c r="BH1002" s="50"/>
      <c r="BI1002" s="50"/>
      <c r="BJ1002" s="50"/>
      <c r="BK1002" s="50"/>
      <c r="BL1002" s="50"/>
      <c r="BM1002" s="50"/>
      <c r="BN1002" s="50"/>
      <c r="BO1002" s="50"/>
      <c r="BP1002" s="50"/>
      <c r="BQ1002" s="50"/>
      <c r="BR1002" s="50"/>
      <c r="BS1002" s="111"/>
      <c r="BT1002" s="50"/>
      <c r="BU1002" s="50"/>
      <c r="BV1002" s="50"/>
      <c r="BW1002" s="50"/>
      <c r="BX1002" s="50"/>
      <c r="BY1002" s="50"/>
      <c r="BZ1002" s="50"/>
      <c r="CA1002" s="50"/>
      <c r="CB1002" s="50"/>
      <c r="CC1002" s="50"/>
      <c r="CD1002" s="50"/>
      <c r="CE1002" s="50"/>
      <c r="CF1002" s="50"/>
      <c r="CG1002" s="50"/>
      <c r="CH1002" s="50"/>
      <c r="CI1002" s="50"/>
      <c r="CJ1002" s="50"/>
      <c r="CK1002" s="50"/>
      <c r="CL1002" s="50"/>
      <c r="CM1002" s="50"/>
      <c r="CN1002" s="50"/>
      <c r="CO1002" s="50"/>
      <c r="CP1002" s="50"/>
      <c r="CQ1002" s="50"/>
      <c r="CR1002" s="50"/>
      <c r="CS1002" s="50"/>
    </row>
    <row r="1003" spans="1:97" ht="15" thickBot="1">
      <c r="A1003" s="49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111"/>
      <c r="AJ1003" s="111"/>
      <c r="AK1003" s="111"/>
      <c r="AL1003" s="111"/>
      <c r="AM1003" s="111"/>
      <c r="AN1003" s="111"/>
      <c r="AO1003" s="111"/>
      <c r="AP1003" s="111"/>
      <c r="AQ1003" s="111"/>
      <c r="AR1003" s="111"/>
      <c r="AS1003" s="111"/>
      <c r="AT1003" s="111"/>
      <c r="AU1003" s="111"/>
      <c r="AV1003" s="50"/>
      <c r="AW1003" s="50"/>
      <c r="AX1003" s="50"/>
      <c r="AY1003" s="50"/>
      <c r="AZ1003" s="50"/>
      <c r="BA1003" s="50"/>
      <c r="BB1003" s="50"/>
      <c r="BC1003" s="50"/>
      <c r="BD1003" s="50"/>
      <c r="BE1003" s="50"/>
      <c r="BF1003" s="50"/>
      <c r="BG1003" s="50"/>
      <c r="BH1003" s="50"/>
      <c r="BI1003" s="50"/>
      <c r="BJ1003" s="50"/>
      <c r="BK1003" s="50"/>
      <c r="BL1003" s="50"/>
      <c r="BM1003" s="50"/>
      <c r="BN1003" s="50"/>
      <c r="BO1003" s="50"/>
      <c r="BP1003" s="50"/>
      <c r="BQ1003" s="50"/>
      <c r="BR1003" s="50"/>
      <c r="BS1003" s="111"/>
      <c r="BT1003" s="50"/>
      <c r="BU1003" s="50"/>
      <c r="BV1003" s="50"/>
      <c r="BW1003" s="50"/>
      <c r="BX1003" s="50"/>
      <c r="BY1003" s="50"/>
      <c r="BZ1003" s="50"/>
      <c r="CA1003" s="50"/>
      <c r="CB1003" s="50"/>
      <c r="CC1003" s="50"/>
      <c r="CD1003" s="50"/>
      <c r="CE1003" s="50"/>
      <c r="CF1003" s="50"/>
      <c r="CG1003" s="50"/>
      <c r="CH1003" s="50"/>
      <c r="CI1003" s="50"/>
      <c r="CJ1003" s="50"/>
      <c r="CK1003" s="50"/>
      <c r="CL1003" s="50"/>
      <c r="CM1003" s="50"/>
      <c r="CN1003" s="50"/>
      <c r="CO1003" s="50"/>
      <c r="CP1003" s="50"/>
      <c r="CQ1003" s="50"/>
      <c r="CR1003" s="50"/>
      <c r="CS1003" s="50"/>
    </row>
    <row r="1004" spans="1:97" ht="15" thickBot="1">
      <c r="A1004" s="49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111"/>
      <c r="AJ1004" s="111"/>
      <c r="AK1004" s="111"/>
      <c r="AL1004" s="111"/>
      <c r="AM1004" s="111"/>
      <c r="AN1004" s="111"/>
      <c r="AO1004" s="111"/>
      <c r="AP1004" s="111"/>
      <c r="AQ1004" s="111"/>
      <c r="AR1004" s="111"/>
      <c r="AS1004" s="111"/>
      <c r="AT1004" s="111"/>
      <c r="AU1004" s="111"/>
      <c r="AV1004" s="50"/>
      <c r="AW1004" s="50"/>
      <c r="AX1004" s="50"/>
      <c r="AY1004" s="50"/>
      <c r="AZ1004" s="50"/>
      <c r="BA1004" s="50"/>
      <c r="BB1004" s="50"/>
      <c r="BC1004" s="50"/>
      <c r="BD1004" s="50"/>
      <c r="BE1004" s="50"/>
      <c r="BF1004" s="50"/>
      <c r="BG1004" s="50"/>
      <c r="BH1004" s="50"/>
      <c r="BI1004" s="50"/>
      <c r="BJ1004" s="50"/>
      <c r="BK1004" s="50"/>
      <c r="BL1004" s="50"/>
      <c r="BM1004" s="50"/>
      <c r="BN1004" s="50"/>
      <c r="BO1004" s="50"/>
      <c r="BP1004" s="50"/>
      <c r="BQ1004" s="50"/>
      <c r="BR1004" s="50"/>
      <c r="BS1004" s="111"/>
      <c r="BT1004" s="50"/>
      <c r="BU1004" s="50"/>
      <c r="BV1004" s="50"/>
      <c r="BW1004" s="50"/>
      <c r="BX1004" s="50"/>
      <c r="BY1004" s="50"/>
      <c r="BZ1004" s="50"/>
      <c r="CA1004" s="50"/>
      <c r="CB1004" s="50"/>
      <c r="CC1004" s="50"/>
      <c r="CD1004" s="50"/>
      <c r="CE1004" s="50"/>
      <c r="CF1004" s="50"/>
      <c r="CG1004" s="50"/>
      <c r="CH1004" s="50"/>
      <c r="CI1004" s="50"/>
      <c r="CJ1004" s="50"/>
      <c r="CK1004" s="50"/>
      <c r="CL1004" s="50"/>
      <c r="CM1004" s="50"/>
      <c r="CN1004" s="50"/>
      <c r="CO1004" s="50"/>
      <c r="CP1004" s="50"/>
      <c r="CQ1004" s="50"/>
      <c r="CR1004" s="50"/>
      <c r="CS1004" s="50"/>
    </row>
    <row r="1005" spans="1:97" ht="15" thickBot="1">
      <c r="A1005" s="49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111"/>
      <c r="AJ1005" s="111"/>
      <c r="AK1005" s="111"/>
      <c r="AL1005" s="111"/>
      <c r="AM1005" s="111"/>
      <c r="AN1005" s="111"/>
      <c r="AO1005" s="111"/>
      <c r="AP1005" s="111"/>
      <c r="AQ1005" s="111"/>
      <c r="AR1005" s="111"/>
      <c r="AS1005" s="111"/>
      <c r="AT1005" s="111"/>
      <c r="AU1005" s="111"/>
      <c r="AV1005" s="50"/>
      <c r="AW1005" s="50"/>
      <c r="AX1005" s="50"/>
      <c r="AY1005" s="50"/>
      <c r="AZ1005" s="50"/>
      <c r="BA1005" s="50"/>
      <c r="BB1005" s="50"/>
      <c r="BC1005" s="50"/>
      <c r="BD1005" s="50"/>
      <c r="BE1005" s="50"/>
      <c r="BF1005" s="50"/>
      <c r="BG1005" s="50"/>
      <c r="BH1005" s="50"/>
      <c r="BI1005" s="50"/>
      <c r="BJ1005" s="50"/>
      <c r="BK1005" s="50"/>
      <c r="BL1005" s="50"/>
      <c r="BM1005" s="50"/>
      <c r="BN1005" s="50"/>
      <c r="BO1005" s="50"/>
      <c r="BP1005" s="50"/>
      <c r="BQ1005" s="50"/>
      <c r="BR1005" s="50"/>
      <c r="BS1005" s="111"/>
      <c r="BT1005" s="50"/>
      <c r="BU1005" s="50"/>
      <c r="BV1005" s="50"/>
      <c r="BW1005" s="50"/>
      <c r="BX1005" s="50"/>
      <c r="BY1005" s="50"/>
      <c r="BZ1005" s="50"/>
      <c r="CA1005" s="50"/>
      <c r="CB1005" s="50"/>
      <c r="CC1005" s="50"/>
      <c r="CD1005" s="50"/>
      <c r="CE1005" s="50"/>
      <c r="CF1005" s="50"/>
      <c r="CG1005" s="50"/>
      <c r="CH1005" s="50"/>
      <c r="CI1005" s="50"/>
      <c r="CJ1005" s="50"/>
      <c r="CK1005" s="50"/>
      <c r="CL1005" s="50"/>
      <c r="CM1005" s="50"/>
      <c r="CN1005" s="50"/>
      <c r="CO1005" s="50"/>
      <c r="CP1005" s="50"/>
      <c r="CQ1005" s="50"/>
      <c r="CR1005" s="50"/>
      <c r="CS1005" s="50"/>
    </row>
    <row r="1006" spans="1:97" ht="15" thickBot="1">
      <c r="A1006" s="49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111"/>
      <c r="AJ1006" s="111"/>
      <c r="AK1006" s="111"/>
      <c r="AL1006" s="111"/>
      <c r="AM1006" s="111"/>
      <c r="AN1006" s="111"/>
      <c r="AO1006" s="111"/>
      <c r="AP1006" s="111"/>
      <c r="AQ1006" s="111"/>
      <c r="AR1006" s="111"/>
      <c r="AS1006" s="111"/>
      <c r="AT1006" s="111"/>
      <c r="AU1006" s="111"/>
      <c r="AV1006" s="50"/>
      <c r="AW1006" s="50"/>
      <c r="AX1006" s="50"/>
      <c r="AY1006" s="50"/>
      <c r="AZ1006" s="50"/>
      <c r="BA1006" s="50"/>
      <c r="BB1006" s="50"/>
      <c r="BC1006" s="50"/>
      <c r="BD1006" s="50"/>
      <c r="BE1006" s="50"/>
      <c r="BF1006" s="50"/>
      <c r="BG1006" s="50"/>
      <c r="BH1006" s="50"/>
      <c r="BI1006" s="50"/>
      <c r="BJ1006" s="50"/>
      <c r="BK1006" s="50"/>
      <c r="BL1006" s="50"/>
      <c r="BM1006" s="50"/>
      <c r="BN1006" s="50"/>
      <c r="BO1006" s="50"/>
      <c r="BP1006" s="50"/>
      <c r="BQ1006" s="50"/>
      <c r="BR1006" s="50"/>
      <c r="BS1006" s="111"/>
      <c r="BT1006" s="50"/>
      <c r="BU1006" s="50"/>
      <c r="BV1006" s="50"/>
      <c r="BW1006" s="50"/>
      <c r="BX1006" s="50"/>
      <c r="BY1006" s="50"/>
      <c r="BZ1006" s="50"/>
      <c r="CA1006" s="50"/>
      <c r="CB1006" s="50"/>
      <c r="CC1006" s="50"/>
      <c r="CD1006" s="50"/>
      <c r="CE1006" s="50"/>
      <c r="CF1006" s="50"/>
      <c r="CG1006" s="50"/>
      <c r="CH1006" s="50"/>
      <c r="CI1006" s="50"/>
      <c r="CJ1006" s="50"/>
      <c r="CK1006" s="50"/>
      <c r="CL1006" s="50"/>
      <c r="CM1006" s="50"/>
      <c r="CN1006" s="50"/>
      <c r="CO1006" s="50"/>
      <c r="CP1006" s="50"/>
      <c r="CQ1006" s="50"/>
      <c r="CR1006" s="50"/>
      <c r="CS1006" s="50"/>
    </row>
    <row r="1007" spans="1:97" ht="15" thickBot="1">
      <c r="A1007" s="49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111"/>
      <c r="AJ1007" s="111"/>
      <c r="AK1007" s="111"/>
      <c r="AL1007" s="111"/>
      <c r="AM1007" s="111"/>
      <c r="AN1007" s="111"/>
      <c r="AO1007" s="111"/>
      <c r="AP1007" s="111"/>
      <c r="AQ1007" s="111"/>
      <c r="AR1007" s="111"/>
      <c r="AS1007" s="111"/>
      <c r="AT1007" s="111"/>
      <c r="AU1007" s="111"/>
      <c r="AV1007" s="50"/>
      <c r="AW1007" s="50"/>
      <c r="AX1007" s="50"/>
      <c r="AY1007" s="50"/>
      <c r="AZ1007" s="50"/>
      <c r="BA1007" s="50"/>
      <c r="BB1007" s="50"/>
      <c r="BC1007" s="50"/>
      <c r="BD1007" s="50"/>
      <c r="BE1007" s="50"/>
      <c r="BF1007" s="50"/>
      <c r="BG1007" s="50"/>
      <c r="BH1007" s="50"/>
      <c r="BI1007" s="50"/>
      <c r="BJ1007" s="50"/>
      <c r="BK1007" s="50"/>
      <c r="BL1007" s="50"/>
      <c r="BM1007" s="50"/>
      <c r="BN1007" s="50"/>
      <c r="BO1007" s="50"/>
      <c r="BP1007" s="50"/>
      <c r="BQ1007" s="50"/>
      <c r="BR1007" s="50"/>
      <c r="BS1007" s="111"/>
      <c r="BT1007" s="50"/>
      <c r="BU1007" s="50"/>
      <c r="BV1007" s="50"/>
      <c r="BW1007" s="50"/>
      <c r="BX1007" s="50"/>
      <c r="BY1007" s="50"/>
      <c r="BZ1007" s="50"/>
      <c r="CA1007" s="50"/>
      <c r="CB1007" s="50"/>
      <c r="CC1007" s="50"/>
      <c r="CD1007" s="50"/>
      <c r="CE1007" s="50"/>
      <c r="CF1007" s="50"/>
      <c r="CG1007" s="50"/>
      <c r="CH1007" s="50"/>
      <c r="CI1007" s="50"/>
      <c r="CJ1007" s="50"/>
      <c r="CK1007" s="50"/>
      <c r="CL1007" s="50"/>
      <c r="CM1007" s="50"/>
      <c r="CN1007" s="50"/>
      <c r="CO1007" s="50"/>
      <c r="CP1007" s="50"/>
      <c r="CQ1007" s="50"/>
      <c r="CR1007" s="50"/>
      <c r="CS1007" s="50"/>
    </row>
    <row r="1008" spans="1:97" ht="15" thickBot="1">
      <c r="A1008" s="49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111"/>
      <c r="AJ1008" s="111"/>
      <c r="AK1008" s="111"/>
      <c r="AL1008" s="111"/>
      <c r="AM1008" s="111"/>
      <c r="AN1008" s="111"/>
      <c r="AO1008" s="111"/>
      <c r="AP1008" s="111"/>
      <c r="AQ1008" s="111"/>
      <c r="AR1008" s="111"/>
      <c r="AS1008" s="111"/>
      <c r="AT1008" s="111"/>
      <c r="AU1008" s="111"/>
      <c r="AV1008" s="50"/>
      <c r="AW1008" s="50"/>
      <c r="AX1008" s="50"/>
      <c r="AY1008" s="50"/>
      <c r="AZ1008" s="50"/>
      <c r="BA1008" s="50"/>
      <c r="BB1008" s="50"/>
      <c r="BC1008" s="50"/>
      <c r="BD1008" s="50"/>
      <c r="BE1008" s="50"/>
      <c r="BF1008" s="50"/>
      <c r="BG1008" s="50"/>
      <c r="BH1008" s="50"/>
      <c r="BI1008" s="50"/>
      <c r="BJ1008" s="50"/>
      <c r="BK1008" s="50"/>
      <c r="BL1008" s="50"/>
      <c r="BM1008" s="50"/>
      <c r="BN1008" s="50"/>
      <c r="BO1008" s="50"/>
      <c r="BP1008" s="50"/>
      <c r="BQ1008" s="50"/>
      <c r="BR1008" s="50"/>
      <c r="BS1008" s="111"/>
      <c r="BT1008" s="50"/>
      <c r="BU1008" s="50"/>
      <c r="BV1008" s="50"/>
      <c r="BW1008" s="50"/>
      <c r="BX1008" s="50"/>
      <c r="BY1008" s="50"/>
      <c r="BZ1008" s="50"/>
      <c r="CA1008" s="50"/>
      <c r="CB1008" s="50"/>
      <c r="CC1008" s="50"/>
      <c r="CD1008" s="50"/>
      <c r="CE1008" s="50"/>
      <c r="CF1008" s="50"/>
      <c r="CG1008" s="50"/>
      <c r="CH1008" s="50"/>
      <c r="CI1008" s="50"/>
      <c r="CJ1008" s="50"/>
      <c r="CK1008" s="50"/>
      <c r="CL1008" s="50"/>
      <c r="CM1008" s="50"/>
      <c r="CN1008" s="50"/>
      <c r="CO1008" s="50"/>
      <c r="CP1008" s="50"/>
      <c r="CQ1008" s="50"/>
      <c r="CR1008" s="50"/>
      <c r="CS1008" s="50"/>
    </row>
    <row r="1009" spans="1:97" ht="15" thickBot="1">
      <c r="A1009" s="49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111"/>
      <c r="AO1009" s="111"/>
      <c r="AP1009" s="111"/>
      <c r="AQ1009" s="111"/>
      <c r="AR1009" s="111"/>
      <c r="AS1009" s="111"/>
      <c r="AT1009" s="111"/>
      <c r="AU1009" s="111"/>
      <c r="AV1009" s="50"/>
      <c r="AW1009" s="50"/>
      <c r="AX1009" s="50"/>
      <c r="AY1009" s="50"/>
      <c r="AZ1009" s="50"/>
      <c r="BA1009" s="50"/>
      <c r="BB1009" s="50"/>
      <c r="BC1009" s="50"/>
      <c r="BD1009" s="50"/>
      <c r="BE1009" s="50"/>
      <c r="BF1009" s="50"/>
      <c r="BG1009" s="50"/>
      <c r="BH1009" s="50"/>
      <c r="BI1009" s="50"/>
      <c r="BJ1009" s="50"/>
      <c r="BK1009" s="50"/>
      <c r="BL1009" s="50"/>
      <c r="BM1009" s="50"/>
      <c r="BN1009" s="50"/>
      <c r="BO1009" s="50"/>
      <c r="BP1009" s="50"/>
      <c r="BQ1009" s="50"/>
      <c r="BR1009" s="50"/>
      <c r="BS1009" s="111"/>
      <c r="BT1009" s="50"/>
      <c r="BU1009" s="50"/>
      <c r="BV1009" s="50"/>
      <c r="BW1009" s="50"/>
      <c r="BX1009" s="50"/>
      <c r="BY1009" s="50"/>
      <c r="BZ1009" s="50"/>
      <c r="CA1009" s="50"/>
      <c r="CB1009" s="50"/>
      <c r="CC1009" s="50"/>
      <c r="CD1009" s="50"/>
      <c r="CE1009" s="50"/>
      <c r="CF1009" s="50"/>
      <c r="CG1009" s="50"/>
      <c r="CH1009" s="50"/>
      <c r="CI1009" s="50"/>
      <c r="CJ1009" s="50"/>
      <c r="CK1009" s="50"/>
      <c r="CL1009" s="50"/>
      <c r="CM1009" s="50"/>
      <c r="CN1009" s="50"/>
      <c r="CO1009" s="50"/>
      <c r="CP1009" s="50"/>
      <c r="CQ1009" s="50"/>
      <c r="CR1009" s="50"/>
      <c r="CS1009" s="50"/>
    </row>
    <row r="1010" spans="1:97" ht="15" thickBot="1">
      <c r="A1010" s="49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111"/>
      <c r="AJ1010" s="111"/>
      <c r="AK1010" s="111"/>
      <c r="AL1010" s="111"/>
      <c r="AM1010" s="111"/>
      <c r="AN1010" s="111"/>
      <c r="AO1010" s="111"/>
      <c r="AP1010" s="111"/>
      <c r="AQ1010" s="111"/>
      <c r="AR1010" s="111"/>
      <c r="AS1010" s="111"/>
      <c r="AT1010" s="111"/>
      <c r="AU1010" s="111"/>
      <c r="AV1010" s="50"/>
      <c r="AW1010" s="50"/>
      <c r="AX1010" s="50"/>
      <c r="AY1010" s="50"/>
      <c r="AZ1010" s="50"/>
      <c r="BA1010" s="50"/>
      <c r="BB1010" s="50"/>
      <c r="BC1010" s="50"/>
      <c r="BD1010" s="50"/>
      <c r="BE1010" s="50"/>
      <c r="BF1010" s="50"/>
      <c r="BG1010" s="50"/>
      <c r="BH1010" s="50"/>
      <c r="BI1010" s="50"/>
      <c r="BJ1010" s="50"/>
      <c r="BK1010" s="50"/>
      <c r="BL1010" s="50"/>
      <c r="BM1010" s="50"/>
      <c r="BN1010" s="50"/>
      <c r="BO1010" s="50"/>
      <c r="BP1010" s="50"/>
      <c r="BQ1010" s="50"/>
      <c r="BR1010" s="50"/>
      <c r="BS1010" s="111"/>
      <c r="BT1010" s="50"/>
      <c r="BU1010" s="50"/>
      <c r="BV1010" s="50"/>
      <c r="BW1010" s="50"/>
      <c r="BX1010" s="50"/>
      <c r="BY1010" s="50"/>
      <c r="BZ1010" s="50"/>
      <c r="CA1010" s="50"/>
      <c r="CB1010" s="50"/>
      <c r="CC1010" s="50"/>
      <c r="CD1010" s="50"/>
      <c r="CE1010" s="50"/>
      <c r="CF1010" s="50"/>
      <c r="CG1010" s="50"/>
      <c r="CH1010" s="50"/>
      <c r="CI1010" s="50"/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</row>
    <row r="1011" spans="1:97" ht="15" thickBot="1">
      <c r="A1011" s="49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111"/>
      <c r="AJ1011" s="111"/>
      <c r="AK1011" s="111"/>
      <c r="AL1011" s="111"/>
      <c r="AM1011" s="111"/>
      <c r="AN1011" s="111"/>
      <c r="AO1011" s="111"/>
      <c r="AP1011" s="111"/>
      <c r="AQ1011" s="111"/>
      <c r="AR1011" s="111"/>
      <c r="AS1011" s="111"/>
      <c r="AT1011" s="111"/>
      <c r="AU1011" s="111"/>
      <c r="AV1011" s="50"/>
      <c r="AW1011" s="50"/>
      <c r="AX1011" s="50"/>
      <c r="AY1011" s="50"/>
      <c r="AZ1011" s="50"/>
      <c r="BA1011" s="50"/>
      <c r="BB1011" s="50"/>
      <c r="BC1011" s="50"/>
      <c r="BD1011" s="50"/>
      <c r="BE1011" s="50"/>
      <c r="BF1011" s="50"/>
      <c r="BG1011" s="50"/>
      <c r="BH1011" s="50"/>
      <c r="BI1011" s="50"/>
      <c r="BJ1011" s="50"/>
      <c r="BK1011" s="50"/>
      <c r="BL1011" s="50"/>
      <c r="BM1011" s="50"/>
      <c r="BN1011" s="50"/>
      <c r="BO1011" s="50"/>
      <c r="BP1011" s="50"/>
      <c r="BQ1011" s="50"/>
      <c r="BR1011" s="50"/>
      <c r="BS1011" s="111"/>
      <c r="BT1011" s="50"/>
      <c r="BU1011" s="50"/>
      <c r="BV1011" s="50"/>
      <c r="BW1011" s="50"/>
      <c r="BX1011" s="50"/>
      <c r="BY1011" s="50"/>
      <c r="BZ1011" s="50"/>
      <c r="CA1011" s="50"/>
      <c r="CB1011" s="50"/>
      <c r="CC1011" s="50"/>
      <c r="CD1011" s="50"/>
      <c r="CE1011" s="50"/>
      <c r="CF1011" s="50"/>
      <c r="CG1011" s="50"/>
      <c r="CH1011" s="50"/>
      <c r="CI1011" s="50"/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</row>
    <row r="1012" spans="1:97" ht="15" thickBot="1">
      <c r="A1012" s="49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111"/>
      <c r="AJ1012" s="111"/>
      <c r="AK1012" s="111"/>
      <c r="AL1012" s="111"/>
      <c r="AM1012" s="111"/>
      <c r="AN1012" s="111"/>
      <c r="AO1012" s="111"/>
      <c r="AP1012" s="111"/>
      <c r="AQ1012" s="111"/>
      <c r="AR1012" s="111"/>
      <c r="AS1012" s="111"/>
      <c r="AT1012" s="111"/>
      <c r="AU1012" s="111"/>
      <c r="AV1012" s="50"/>
      <c r="AW1012" s="50"/>
      <c r="AX1012" s="50"/>
      <c r="AY1012" s="50"/>
      <c r="AZ1012" s="50"/>
      <c r="BA1012" s="50"/>
      <c r="BB1012" s="50"/>
      <c r="BC1012" s="50"/>
      <c r="BD1012" s="50"/>
      <c r="BE1012" s="50"/>
      <c r="BF1012" s="50"/>
      <c r="BG1012" s="50"/>
      <c r="BH1012" s="50"/>
      <c r="BI1012" s="50"/>
      <c r="BJ1012" s="50"/>
      <c r="BK1012" s="50"/>
      <c r="BL1012" s="50"/>
      <c r="BM1012" s="50"/>
      <c r="BN1012" s="50"/>
      <c r="BO1012" s="50"/>
      <c r="BP1012" s="50"/>
      <c r="BQ1012" s="50"/>
      <c r="BR1012" s="50"/>
      <c r="BS1012" s="111"/>
      <c r="BT1012" s="50"/>
      <c r="BU1012" s="50"/>
      <c r="BV1012" s="50"/>
      <c r="BW1012" s="50"/>
      <c r="BX1012" s="50"/>
      <c r="BY1012" s="50"/>
      <c r="BZ1012" s="50"/>
      <c r="CA1012" s="50"/>
      <c r="CB1012" s="50"/>
      <c r="CC1012" s="50"/>
      <c r="CD1012" s="50"/>
      <c r="CE1012" s="50"/>
      <c r="CF1012" s="50"/>
      <c r="CG1012" s="50"/>
      <c r="CH1012" s="50"/>
      <c r="CI1012" s="50"/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</row>
    <row r="1013" spans="1:97" ht="15" thickBot="1">
      <c r="A1013" s="49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111"/>
      <c r="AO1013" s="111"/>
      <c r="AP1013" s="111"/>
      <c r="AQ1013" s="111"/>
      <c r="AR1013" s="111"/>
      <c r="AS1013" s="111"/>
      <c r="AT1013" s="111"/>
      <c r="AU1013" s="111"/>
      <c r="AV1013" s="50"/>
      <c r="AW1013" s="50"/>
      <c r="AX1013" s="50"/>
      <c r="AY1013" s="50"/>
      <c r="AZ1013" s="50"/>
      <c r="BA1013" s="50"/>
      <c r="BB1013" s="50"/>
      <c r="BC1013" s="50"/>
      <c r="BD1013" s="50"/>
      <c r="BE1013" s="50"/>
      <c r="BF1013" s="50"/>
      <c r="BG1013" s="50"/>
      <c r="BH1013" s="50"/>
      <c r="BI1013" s="50"/>
      <c r="BJ1013" s="50"/>
      <c r="BK1013" s="50"/>
      <c r="BL1013" s="50"/>
      <c r="BM1013" s="50"/>
      <c r="BN1013" s="50"/>
      <c r="BO1013" s="50"/>
      <c r="BP1013" s="50"/>
      <c r="BQ1013" s="50"/>
      <c r="BR1013" s="50"/>
      <c r="BS1013" s="111"/>
      <c r="BT1013" s="50"/>
      <c r="BU1013" s="50"/>
      <c r="BV1013" s="50"/>
      <c r="BW1013" s="50"/>
      <c r="BX1013" s="50"/>
      <c r="BY1013" s="50"/>
      <c r="BZ1013" s="50"/>
      <c r="CA1013" s="50"/>
      <c r="CB1013" s="50"/>
      <c r="CC1013" s="50"/>
      <c r="CD1013" s="50"/>
      <c r="CE1013" s="50"/>
      <c r="CF1013" s="50"/>
      <c r="CG1013" s="50"/>
      <c r="CH1013" s="50"/>
      <c r="CI1013" s="50"/>
      <c r="CJ1013" s="50"/>
      <c r="CK1013" s="50"/>
      <c r="CL1013" s="50"/>
      <c r="CM1013" s="50"/>
      <c r="CN1013" s="50"/>
      <c r="CO1013" s="50"/>
      <c r="CP1013" s="50"/>
      <c r="CQ1013" s="50"/>
      <c r="CR1013" s="50"/>
      <c r="CS1013" s="50"/>
    </row>
    <row r="1014" spans="1:97" ht="15" thickBot="1">
      <c r="A1014" s="49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111"/>
      <c r="AJ1014" s="111"/>
      <c r="AK1014" s="111"/>
      <c r="AL1014" s="111"/>
      <c r="AM1014" s="111"/>
      <c r="AN1014" s="111"/>
      <c r="AO1014" s="111"/>
      <c r="AP1014" s="111"/>
      <c r="AQ1014" s="111"/>
      <c r="AR1014" s="111"/>
      <c r="AS1014" s="111"/>
      <c r="AT1014" s="111"/>
      <c r="AU1014" s="111"/>
      <c r="AV1014" s="50"/>
      <c r="AW1014" s="50"/>
      <c r="AX1014" s="50"/>
      <c r="AY1014" s="50"/>
      <c r="AZ1014" s="50"/>
      <c r="BA1014" s="50"/>
      <c r="BB1014" s="50"/>
      <c r="BC1014" s="50"/>
      <c r="BD1014" s="50"/>
      <c r="BE1014" s="50"/>
      <c r="BF1014" s="50"/>
      <c r="BG1014" s="50"/>
      <c r="BH1014" s="50"/>
      <c r="BI1014" s="50"/>
      <c r="BJ1014" s="50"/>
      <c r="BK1014" s="50"/>
      <c r="BL1014" s="50"/>
      <c r="BM1014" s="50"/>
      <c r="BN1014" s="50"/>
      <c r="BO1014" s="50"/>
      <c r="BP1014" s="50"/>
      <c r="BQ1014" s="50"/>
      <c r="BR1014" s="50"/>
      <c r="BS1014" s="111"/>
      <c r="BT1014" s="50"/>
      <c r="BU1014" s="50"/>
      <c r="BV1014" s="50"/>
      <c r="BW1014" s="50"/>
      <c r="BX1014" s="50"/>
      <c r="BY1014" s="50"/>
      <c r="BZ1014" s="50"/>
      <c r="CA1014" s="50"/>
      <c r="CB1014" s="50"/>
      <c r="CC1014" s="50"/>
      <c r="CD1014" s="50"/>
      <c r="CE1014" s="50"/>
      <c r="CF1014" s="50"/>
      <c r="CG1014" s="50"/>
      <c r="CH1014" s="50"/>
      <c r="CI1014" s="50"/>
      <c r="CJ1014" s="50"/>
      <c r="CK1014" s="50"/>
      <c r="CL1014" s="50"/>
      <c r="CM1014" s="50"/>
      <c r="CN1014" s="50"/>
      <c r="CO1014" s="50"/>
      <c r="CP1014" s="50"/>
      <c r="CQ1014" s="50"/>
      <c r="CR1014" s="50"/>
      <c r="CS1014" s="50"/>
    </row>
    <row r="1015" spans="1:97" ht="15" thickBot="1">
      <c r="A1015" s="49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111"/>
      <c r="AO1015" s="111"/>
      <c r="AP1015" s="111"/>
      <c r="AQ1015" s="111"/>
      <c r="AR1015" s="111"/>
      <c r="AS1015" s="111"/>
      <c r="AT1015" s="111"/>
      <c r="AU1015" s="111"/>
      <c r="AV1015" s="50"/>
      <c r="AW1015" s="50"/>
      <c r="AX1015" s="50"/>
      <c r="AY1015" s="50"/>
      <c r="AZ1015" s="50"/>
      <c r="BA1015" s="50"/>
      <c r="BB1015" s="50"/>
      <c r="BC1015" s="50"/>
      <c r="BD1015" s="50"/>
      <c r="BE1015" s="50"/>
      <c r="BF1015" s="50"/>
      <c r="BG1015" s="50"/>
      <c r="BH1015" s="50"/>
      <c r="BI1015" s="50"/>
      <c r="BJ1015" s="50"/>
      <c r="BK1015" s="50"/>
      <c r="BL1015" s="50"/>
      <c r="BM1015" s="50"/>
      <c r="BN1015" s="50"/>
      <c r="BO1015" s="50"/>
      <c r="BP1015" s="50"/>
      <c r="BQ1015" s="50"/>
      <c r="BR1015" s="50"/>
      <c r="BS1015" s="111"/>
      <c r="BT1015" s="50"/>
      <c r="BU1015" s="50"/>
      <c r="BV1015" s="50"/>
      <c r="BW1015" s="50"/>
      <c r="BX1015" s="50"/>
      <c r="BY1015" s="50"/>
      <c r="BZ1015" s="50"/>
      <c r="CA1015" s="50"/>
      <c r="CB1015" s="50"/>
      <c r="CC1015" s="50"/>
      <c r="CD1015" s="50"/>
      <c r="CE1015" s="50"/>
      <c r="CF1015" s="50"/>
      <c r="CG1015" s="50"/>
      <c r="CH1015" s="50"/>
      <c r="CI1015" s="50"/>
      <c r="CJ1015" s="50"/>
      <c r="CK1015" s="50"/>
      <c r="CL1015" s="50"/>
      <c r="CM1015" s="50"/>
      <c r="CN1015" s="50"/>
      <c r="CO1015" s="50"/>
      <c r="CP1015" s="50"/>
      <c r="CQ1015" s="50"/>
      <c r="CR1015" s="50"/>
      <c r="CS1015" s="50"/>
    </row>
    <row r="1016" spans="1:97" ht="15" thickBot="1">
      <c r="A1016" s="49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111"/>
      <c r="AJ1016" s="111"/>
      <c r="AK1016" s="111"/>
      <c r="AL1016" s="111"/>
      <c r="AM1016" s="111"/>
      <c r="AN1016" s="111"/>
      <c r="AO1016" s="111"/>
      <c r="AP1016" s="111"/>
      <c r="AQ1016" s="111"/>
      <c r="AR1016" s="111"/>
      <c r="AS1016" s="111"/>
      <c r="AT1016" s="111"/>
      <c r="AU1016" s="111"/>
      <c r="AV1016" s="50"/>
      <c r="AW1016" s="50"/>
      <c r="AX1016" s="50"/>
      <c r="AY1016" s="50"/>
      <c r="AZ1016" s="50"/>
      <c r="BA1016" s="50"/>
      <c r="BB1016" s="50"/>
      <c r="BC1016" s="50"/>
      <c r="BD1016" s="50"/>
      <c r="BE1016" s="50"/>
      <c r="BF1016" s="50"/>
      <c r="BG1016" s="50"/>
      <c r="BH1016" s="50"/>
      <c r="BI1016" s="50"/>
      <c r="BJ1016" s="50"/>
      <c r="BK1016" s="50"/>
      <c r="BL1016" s="50"/>
      <c r="BM1016" s="50"/>
      <c r="BN1016" s="50"/>
      <c r="BO1016" s="50"/>
      <c r="BP1016" s="50"/>
      <c r="BQ1016" s="50"/>
      <c r="BR1016" s="50"/>
      <c r="BS1016" s="111"/>
      <c r="BT1016" s="50"/>
      <c r="BU1016" s="50"/>
      <c r="BV1016" s="50"/>
      <c r="BW1016" s="50"/>
      <c r="BX1016" s="50"/>
      <c r="BY1016" s="50"/>
      <c r="BZ1016" s="50"/>
      <c r="CA1016" s="50"/>
      <c r="CB1016" s="50"/>
      <c r="CC1016" s="50"/>
      <c r="CD1016" s="50"/>
      <c r="CE1016" s="50"/>
      <c r="CF1016" s="50"/>
      <c r="CG1016" s="50"/>
      <c r="CH1016" s="50"/>
      <c r="CI1016" s="50"/>
      <c r="CJ1016" s="50"/>
      <c r="CK1016" s="50"/>
      <c r="CL1016" s="50"/>
      <c r="CM1016" s="50"/>
      <c r="CN1016" s="50"/>
      <c r="CO1016" s="50"/>
      <c r="CP1016" s="50"/>
      <c r="CQ1016" s="50"/>
      <c r="CR1016" s="50"/>
      <c r="CS1016" s="50"/>
    </row>
    <row r="1017" spans="1:97" ht="15" thickBot="1">
      <c r="A1017" s="49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111"/>
      <c r="AJ1017" s="111"/>
      <c r="AK1017" s="111"/>
      <c r="AL1017" s="111"/>
      <c r="AM1017" s="111"/>
      <c r="AN1017" s="111"/>
      <c r="AO1017" s="111"/>
      <c r="AP1017" s="111"/>
      <c r="AQ1017" s="111"/>
      <c r="AR1017" s="111"/>
      <c r="AS1017" s="111"/>
      <c r="AT1017" s="111"/>
      <c r="AU1017" s="111"/>
      <c r="AV1017" s="50"/>
      <c r="AW1017" s="50"/>
      <c r="AX1017" s="50"/>
      <c r="AY1017" s="50"/>
      <c r="AZ1017" s="50"/>
      <c r="BA1017" s="50"/>
      <c r="BB1017" s="50"/>
      <c r="BC1017" s="50"/>
      <c r="BD1017" s="50"/>
      <c r="BE1017" s="50"/>
      <c r="BF1017" s="50"/>
      <c r="BG1017" s="50"/>
      <c r="BH1017" s="50"/>
      <c r="BI1017" s="50"/>
      <c r="BJ1017" s="50"/>
      <c r="BK1017" s="50"/>
      <c r="BL1017" s="50"/>
      <c r="BM1017" s="50"/>
      <c r="BN1017" s="50"/>
      <c r="BO1017" s="50"/>
      <c r="BP1017" s="50"/>
      <c r="BQ1017" s="50"/>
      <c r="BR1017" s="50"/>
      <c r="BS1017" s="111"/>
      <c r="BT1017" s="50"/>
      <c r="BU1017" s="50"/>
      <c r="BV1017" s="50"/>
      <c r="BW1017" s="50"/>
      <c r="BX1017" s="50"/>
      <c r="BY1017" s="50"/>
      <c r="BZ1017" s="50"/>
      <c r="CA1017" s="50"/>
      <c r="CB1017" s="50"/>
      <c r="CC1017" s="50"/>
      <c r="CD1017" s="50"/>
      <c r="CE1017" s="50"/>
      <c r="CF1017" s="50"/>
      <c r="CG1017" s="50"/>
      <c r="CH1017" s="50"/>
      <c r="CI1017" s="50"/>
      <c r="CJ1017" s="50"/>
      <c r="CK1017" s="50"/>
      <c r="CL1017" s="50"/>
      <c r="CM1017" s="50"/>
      <c r="CN1017" s="50"/>
      <c r="CO1017" s="50"/>
      <c r="CP1017" s="50"/>
      <c r="CQ1017" s="50"/>
      <c r="CR1017" s="50"/>
      <c r="CS1017" s="50"/>
    </row>
    <row r="1018" spans="1:97" ht="15" thickBot="1">
      <c r="A1018" s="49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111"/>
      <c r="AJ1018" s="111"/>
      <c r="AK1018" s="111"/>
      <c r="AL1018" s="111"/>
      <c r="AM1018" s="111"/>
      <c r="AN1018" s="111"/>
      <c r="AO1018" s="111"/>
      <c r="AP1018" s="111"/>
      <c r="AQ1018" s="111"/>
      <c r="AR1018" s="111"/>
      <c r="AS1018" s="111"/>
      <c r="AT1018" s="111"/>
      <c r="AU1018" s="111"/>
      <c r="AV1018" s="50"/>
      <c r="AW1018" s="50"/>
      <c r="AX1018" s="50"/>
      <c r="AY1018" s="50"/>
      <c r="AZ1018" s="50"/>
      <c r="BA1018" s="50"/>
      <c r="BB1018" s="50"/>
      <c r="BC1018" s="50"/>
      <c r="BD1018" s="50"/>
      <c r="BE1018" s="50"/>
      <c r="BF1018" s="50"/>
      <c r="BG1018" s="50"/>
      <c r="BH1018" s="50"/>
      <c r="BI1018" s="50"/>
      <c r="BJ1018" s="50"/>
      <c r="BK1018" s="50"/>
      <c r="BL1018" s="50"/>
      <c r="BM1018" s="50"/>
      <c r="BN1018" s="50"/>
      <c r="BO1018" s="50"/>
      <c r="BP1018" s="50"/>
      <c r="BQ1018" s="50"/>
      <c r="BR1018" s="50"/>
      <c r="BS1018" s="111"/>
      <c r="BT1018" s="50"/>
      <c r="BU1018" s="50"/>
      <c r="BV1018" s="50"/>
      <c r="BW1018" s="50"/>
      <c r="BX1018" s="50"/>
      <c r="BY1018" s="50"/>
      <c r="BZ1018" s="50"/>
      <c r="CA1018" s="50"/>
      <c r="CB1018" s="50"/>
      <c r="CC1018" s="50"/>
      <c r="CD1018" s="50"/>
      <c r="CE1018" s="50"/>
      <c r="CF1018" s="50"/>
      <c r="CG1018" s="50"/>
      <c r="CH1018" s="50"/>
      <c r="CI1018" s="50"/>
      <c r="CJ1018" s="50"/>
      <c r="CK1018" s="50"/>
      <c r="CL1018" s="50"/>
      <c r="CM1018" s="50"/>
      <c r="CN1018" s="50"/>
      <c r="CO1018" s="50"/>
      <c r="CP1018" s="50"/>
      <c r="CQ1018" s="50"/>
      <c r="CR1018" s="50"/>
      <c r="CS1018" s="50"/>
    </row>
    <row r="1019" spans="1:97" ht="15" thickBot="1">
      <c r="A1019" s="49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111"/>
      <c r="AJ1019" s="111"/>
      <c r="AK1019" s="111"/>
      <c r="AL1019" s="111"/>
      <c r="AM1019" s="111"/>
      <c r="AN1019" s="111"/>
      <c r="AO1019" s="111"/>
      <c r="AP1019" s="111"/>
      <c r="AQ1019" s="111"/>
      <c r="AR1019" s="111"/>
      <c r="AS1019" s="111"/>
      <c r="AT1019" s="111"/>
      <c r="AU1019" s="111"/>
      <c r="AV1019" s="50"/>
      <c r="AW1019" s="50"/>
      <c r="AX1019" s="50"/>
      <c r="AY1019" s="50"/>
      <c r="AZ1019" s="50"/>
      <c r="BA1019" s="50"/>
      <c r="BB1019" s="50"/>
      <c r="BC1019" s="50"/>
      <c r="BD1019" s="50"/>
      <c r="BE1019" s="50"/>
      <c r="BF1019" s="50"/>
      <c r="BG1019" s="50"/>
      <c r="BH1019" s="50"/>
      <c r="BI1019" s="50"/>
      <c r="BJ1019" s="50"/>
      <c r="BK1019" s="50"/>
      <c r="BL1019" s="50"/>
      <c r="BM1019" s="50"/>
      <c r="BN1019" s="50"/>
      <c r="BO1019" s="50"/>
      <c r="BP1019" s="50"/>
      <c r="BQ1019" s="50"/>
      <c r="BR1019" s="50"/>
      <c r="BS1019" s="111"/>
      <c r="BT1019" s="50"/>
      <c r="BU1019" s="50"/>
      <c r="BV1019" s="50"/>
      <c r="BW1019" s="50"/>
      <c r="BX1019" s="50"/>
      <c r="BY1019" s="50"/>
      <c r="BZ1019" s="50"/>
      <c r="CA1019" s="50"/>
      <c r="CB1019" s="50"/>
      <c r="CC1019" s="50"/>
      <c r="CD1019" s="50"/>
      <c r="CE1019" s="50"/>
      <c r="CF1019" s="50"/>
      <c r="CG1019" s="50"/>
      <c r="CH1019" s="50"/>
      <c r="CI1019" s="50"/>
      <c r="CJ1019" s="50"/>
      <c r="CK1019" s="50"/>
      <c r="CL1019" s="50"/>
      <c r="CM1019" s="50"/>
      <c r="CN1019" s="50"/>
      <c r="CO1019" s="50"/>
      <c r="CP1019" s="50"/>
      <c r="CQ1019" s="50"/>
      <c r="CR1019" s="50"/>
      <c r="CS1019" s="50"/>
    </row>
    <row r="1020" spans="1:97" ht="15" thickBot="1">
      <c r="A1020" s="49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111"/>
      <c r="AJ1020" s="111"/>
      <c r="AK1020" s="111"/>
      <c r="AL1020" s="111"/>
      <c r="AM1020" s="111"/>
      <c r="AN1020" s="111"/>
      <c r="AO1020" s="111"/>
      <c r="AP1020" s="111"/>
      <c r="AQ1020" s="111"/>
      <c r="AR1020" s="111"/>
      <c r="AS1020" s="111"/>
      <c r="AT1020" s="111"/>
      <c r="AU1020" s="111"/>
      <c r="AV1020" s="50"/>
      <c r="AW1020" s="50"/>
      <c r="AX1020" s="50"/>
      <c r="AY1020" s="50"/>
      <c r="AZ1020" s="50"/>
      <c r="BA1020" s="50"/>
      <c r="BB1020" s="50"/>
      <c r="BC1020" s="50"/>
      <c r="BD1020" s="50"/>
      <c r="BE1020" s="50"/>
      <c r="BF1020" s="50"/>
      <c r="BG1020" s="50"/>
      <c r="BH1020" s="50"/>
      <c r="BI1020" s="50"/>
      <c r="BJ1020" s="50"/>
      <c r="BK1020" s="50"/>
      <c r="BL1020" s="50"/>
      <c r="BM1020" s="50"/>
      <c r="BN1020" s="50"/>
      <c r="BO1020" s="50"/>
      <c r="BP1020" s="50"/>
      <c r="BQ1020" s="50"/>
      <c r="BR1020" s="50"/>
      <c r="BS1020" s="111"/>
      <c r="BT1020" s="50"/>
      <c r="BU1020" s="50"/>
      <c r="BV1020" s="50"/>
      <c r="BW1020" s="50"/>
      <c r="BX1020" s="50"/>
      <c r="BY1020" s="50"/>
      <c r="BZ1020" s="50"/>
      <c r="CA1020" s="50"/>
      <c r="CB1020" s="50"/>
      <c r="CC1020" s="50"/>
      <c r="CD1020" s="50"/>
      <c r="CE1020" s="50"/>
      <c r="CF1020" s="50"/>
      <c r="CG1020" s="50"/>
      <c r="CH1020" s="50"/>
      <c r="CI1020" s="50"/>
      <c r="CJ1020" s="50"/>
      <c r="CK1020" s="50"/>
      <c r="CL1020" s="50"/>
      <c r="CM1020" s="50"/>
      <c r="CN1020" s="50"/>
      <c r="CO1020" s="50"/>
      <c r="CP1020" s="50"/>
      <c r="CQ1020" s="50"/>
      <c r="CR1020" s="50"/>
      <c r="CS1020" s="50"/>
    </row>
    <row r="1021" spans="1:97" ht="15" thickBot="1">
      <c r="A1021" s="49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111"/>
      <c r="AJ1021" s="111"/>
      <c r="AK1021" s="111"/>
      <c r="AL1021" s="111"/>
      <c r="AM1021" s="111"/>
      <c r="AN1021" s="111"/>
      <c r="AO1021" s="111"/>
      <c r="AP1021" s="111"/>
      <c r="AQ1021" s="111"/>
      <c r="AR1021" s="111"/>
      <c r="AS1021" s="111"/>
      <c r="AT1021" s="111"/>
      <c r="AU1021" s="111"/>
      <c r="AV1021" s="50"/>
      <c r="AW1021" s="50"/>
      <c r="AX1021" s="50"/>
      <c r="AY1021" s="50"/>
      <c r="AZ1021" s="50"/>
      <c r="BA1021" s="50"/>
      <c r="BB1021" s="50"/>
      <c r="BC1021" s="50"/>
      <c r="BD1021" s="50"/>
      <c r="BE1021" s="50"/>
      <c r="BF1021" s="50"/>
      <c r="BG1021" s="50"/>
      <c r="BH1021" s="50"/>
      <c r="BI1021" s="50"/>
      <c r="BJ1021" s="50"/>
      <c r="BK1021" s="50"/>
      <c r="BL1021" s="50"/>
      <c r="BM1021" s="50"/>
      <c r="BN1021" s="50"/>
      <c r="BO1021" s="50"/>
      <c r="BP1021" s="50"/>
      <c r="BQ1021" s="50"/>
      <c r="BR1021" s="50"/>
      <c r="BS1021" s="111"/>
      <c r="BT1021" s="50"/>
      <c r="BU1021" s="50"/>
      <c r="BV1021" s="50"/>
      <c r="BW1021" s="50"/>
      <c r="BX1021" s="50"/>
      <c r="BY1021" s="50"/>
      <c r="BZ1021" s="50"/>
      <c r="CA1021" s="50"/>
      <c r="CB1021" s="50"/>
      <c r="CC1021" s="50"/>
      <c r="CD1021" s="50"/>
      <c r="CE1021" s="50"/>
      <c r="CF1021" s="50"/>
      <c r="CG1021" s="50"/>
      <c r="CH1021" s="50"/>
      <c r="CI1021" s="50"/>
      <c r="CJ1021" s="50"/>
      <c r="CK1021" s="50"/>
      <c r="CL1021" s="50"/>
      <c r="CM1021" s="50"/>
      <c r="CN1021" s="50"/>
      <c r="CO1021" s="50"/>
      <c r="CP1021" s="50"/>
      <c r="CQ1021" s="50"/>
      <c r="CR1021" s="50"/>
      <c r="CS1021" s="50"/>
    </row>
    <row r="1022" spans="1:97" ht="15" thickBot="1">
      <c r="A1022" s="49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111"/>
      <c r="AJ1022" s="111"/>
      <c r="AK1022" s="111"/>
      <c r="AL1022" s="111"/>
      <c r="AM1022" s="111"/>
      <c r="AN1022" s="111"/>
      <c r="AO1022" s="111"/>
      <c r="AP1022" s="111"/>
      <c r="AQ1022" s="111"/>
      <c r="AR1022" s="111"/>
      <c r="AS1022" s="111"/>
      <c r="AT1022" s="111"/>
      <c r="AU1022" s="111"/>
      <c r="AV1022" s="50"/>
      <c r="AW1022" s="50"/>
      <c r="AX1022" s="50"/>
      <c r="AY1022" s="50"/>
      <c r="AZ1022" s="50"/>
      <c r="BA1022" s="50"/>
      <c r="BB1022" s="50"/>
      <c r="BC1022" s="50"/>
      <c r="BD1022" s="50"/>
      <c r="BE1022" s="50"/>
      <c r="BF1022" s="50"/>
      <c r="BG1022" s="50"/>
      <c r="BH1022" s="50"/>
      <c r="BI1022" s="50"/>
      <c r="BJ1022" s="50"/>
      <c r="BK1022" s="50"/>
      <c r="BL1022" s="50"/>
      <c r="BM1022" s="50"/>
      <c r="BN1022" s="50"/>
      <c r="BO1022" s="50"/>
      <c r="BP1022" s="50"/>
      <c r="BQ1022" s="50"/>
      <c r="BR1022" s="50"/>
      <c r="BS1022" s="111"/>
      <c r="BT1022" s="50"/>
      <c r="BU1022" s="50"/>
      <c r="BV1022" s="50"/>
      <c r="BW1022" s="50"/>
      <c r="BX1022" s="50"/>
      <c r="BY1022" s="50"/>
      <c r="BZ1022" s="50"/>
      <c r="CA1022" s="50"/>
      <c r="CB1022" s="50"/>
      <c r="CC1022" s="50"/>
      <c r="CD1022" s="50"/>
      <c r="CE1022" s="50"/>
      <c r="CF1022" s="50"/>
      <c r="CG1022" s="50"/>
      <c r="CH1022" s="50"/>
      <c r="CI1022" s="50"/>
      <c r="CJ1022" s="50"/>
      <c r="CK1022" s="50"/>
      <c r="CL1022" s="50"/>
      <c r="CM1022" s="50"/>
      <c r="CN1022" s="50"/>
      <c r="CO1022" s="50"/>
      <c r="CP1022" s="50"/>
      <c r="CQ1022" s="50"/>
      <c r="CR1022" s="50"/>
      <c r="CS1022" s="50"/>
    </row>
    <row r="1023" spans="1:97" ht="15" thickBot="1">
      <c r="A1023" s="49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11"/>
      <c r="AO1023" s="111"/>
      <c r="AP1023" s="111"/>
      <c r="AQ1023" s="111"/>
      <c r="AR1023" s="111"/>
      <c r="AS1023" s="111"/>
      <c r="AT1023" s="111"/>
      <c r="AU1023" s="111"/>
      <c r="AV1023" s="50"/>
      <c r="AW1023" s="50"/>
      <c r="AX1023" s="50"/>
      <c r="AY1023" s="50"/>
      <c r="AZ1023" s="50"/>
      <c r="BA1023" s="50"/>
      <c r="BB1023" s="50"/>
      <c r="BC1023" s="50"/>
      <c r="BD1023" s="50"/>
      <c r="BE1023" s="50"/>
      <c r="BF1023" s="50"/>
      <c r="BG1023" s="50"/>
      <c r="BH1023" s="50"/>
      <c r="BI1023" s="50"/>
      <c r="BJ1023" s="50"/>
      <c r="BK1023" s="50"/>
      <c r="BL1023" s="50"/>
      <c r="BM1023" s="50"/>
      <c r="BN1023" s="50"/>
      <c r="BO1023" s="50"/>
      <c r="BP1023" s="50"/>
      <c r="BQ1023" s="50"/>
      <c r="BR1023" s="50"/>
      <c r="BS1023" s="111"/>
      <c r="BT1023" s="50"/>
      <c r="BU1023" s="50"/>
      <c r="BV1023" s="50"/>
      <c r="BW1023" s="50"/>
      <c r="BX1023" s="50"/>
      <c r="BY1023" s="50"/>
      <c r="BZ1023" s="50"/>
      <c r="CA1023" s="50"/>
      <c r="CB1023" s="50"/>
      <c r="CC1023" s="50"/>
      <c r="CD1023" s="50"/>
      <c r="CE1023" s="50"/>
      <c r="CF1023" s="50"/>
      <c r="CG1023" s="50"/>
      <c r="CH1023" s="50"/>
      <c r="CI1023" s="50"/>
      <c r="CJ1023" s="50"/>
      <c r="CK1023" s="50"/>
      <c r="CL1023" s="50"/>
      <c r="CM1023" s="50"/>
      <c r="CN1023" s="50"/>
      <c r="CO1023" s="50"/>
      <c r="CP1023" s="50"/>
      <c r="CQ1023" s="50"/>
      <c r="CR1023" s="50"/>
      <c r="CS1023" s="50"/>
    </row>
    <row r="1024" spans="1:97" ht="15" thickBot="1">
      <c r="A1024" s="49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11"/>
      <c r="AO1024" s="111"/>
      <c r="AP1024" s="111"/>
      <c r="AQ1024" s="111"/>
      <c r="AR1024" s="111"/>
      <c r="AS1024" s="111"/>
      <c r="AT1024" s="111"/>
      <c r="AU1024" s="111"/>
      <c r="AV1024" s="50"/>
      <c r="AW1024" s="50"/>
      <c r="AX1024" s="50"/>
      <c r="AY1024" s="50"/>
      <c r="AZ1024" s="50"/>
      <c r="BA1024" s="50"/>
      <c r="BB1024" s="50"/>
      <c r="BC1024" s="50"/>
      <c r="BD1024" s="50"/>
      <c r="BE1024" s="50"/>
      <c r="BF1024" s="50"/>
      <c r="BG1024" s="50"/>
      <c r="BH1024" s="50"/>
      <c r="BI1024" s="50"/>
      <c r="BJ1024" s="50"/>
      <c r="BK1024" s="50"/>
      <c r="BL1024" s="50"/>
      <c r="BM1024" s="50"/>
      <c r="BN1024" s="50"/>
      <c r="BO1024" s="50"/>
      <c r="BP1024" s="50"/>
      <c r="BQ1024" s="50"/>
      <c r="BR1024" s="50"/>
      <c r="BS1024" s="111"/>
      <c r="BT1024" s="50"/>
      <c r="BU1024" s="50"/>
      <c r="BV1024" s="50"/>
      <c r="BW1024" s="50"/>
      <c r="BX1024" s="50"/>
      <c r="BY1024" s="50"/>
      <c r="BZ1024" s="50"/>
      <c r="CA1024" s="50"/>
      <c r="CB1024" s="50"/>
      <c r="CC1024" s="50"/>
      <c r="CD1024" s="50"/>
      <c r="CE1024" s="50"/>
      <c r="CF1024" s="50"/>
      <c r="CG1024" s="50"/>
      <c r="CH1024" s="50"/>
      <c r="CI1024" s="50"/>
      <c r="CJ1024" s="50"/>
      <c r="CK1024" s="50"/>
      <c r="CL1024" s="50"/>
      <c r="CM1024" s="50"/>
      <c r="CN1024" s="50"/>
      <c r="CO1024" s="50"/>
      <c r="CP1024" s="50"/>
      <c r="CQ1024" s="50"/>
      <c r="CR1024" s="50"/>
      <c r="CS1024" s="50"/>
    </row>
    <row r="1025" spans="1:97" ht="15" thickBot="1">
      <c r="A1025" s="49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11"/>
      <c r="AO1025" s="111"/>
      <c r="AP1025" s="111"/>
      <c r="AQ1025" s="111"/>
      <c r="AR1025" s="111"/>
      <c r="AS1025" s="111"/>
      <c r="AT1025" s="111"/>
      <c r="AU1025" s="111"/>
      <c r="AV1025" s="50"/>
      <c r="AW1025" s="50"/>
      <c r="AX1025" s="50"/>
      <c r="AY1025" s="50"/>
      <c r="AZ1025" s="50"/>
      <c r="BA1025" s="50"/>
      <c r="BB1025" s="50"/>
      <c r="BC1025" s="50"/>
      <c r="BD1025" s="50"/>
      <c r="BE1025" s="50"/>
      <c r="BF1025" s="50"/>
      <c r="BG1025" s="50"/>
      <c r="BH1025" s="50"/>
      <c r="BI1025" s="50"/>
      <c r="BJ1025" s="50"/>
      <c r="BK1025" s="50"/>
      <c r="BL1025" s="50"/>
      <c r="BM1025" s="50"/>
      <c r="BN1025" s="50"/>
      <c r="BO1025" s="50"/>
      <c r="BP1025" s="50"/>
      <c r="BQ1025" s="50"/>
      <c r="BR1025" s="50"/>
      <c r="BS1025" s="111"/>
      <c r="BT1025" s="50"/>
      <c r="BU1025" s="50"/>
      <c r="BV1025" s="50"/>
      <c r="BW1025" s="50"/>
      <c r="BX1025" s="50"/>
      <c r="BY1025" s="50"/>
      <c r="BZ1025" s="50"/>
      <c r="CA1025" s="50"/>
      <c r="CB1025" s="50"/>
      <c r="CC1025" s="50"/>
      <c r="CD1025" s="50"/>
      <c r="CE1025" s="50"/>
      <c r="CF1025" s="50"/>
      <c r="CG1025" s="50"/>
      <c r="CH1025" s="50"/>
      <c r="CI1025" s="50"/>
      <c r="CJ1025" s="50"/>
      <c r="CK1025" s="50"/>
      <c r="CL1025" s="50"/>
      <c r="CM1025" s="50"/>
      <c r="CN1025" s="50"/>
      <c r="CO1025" s="50"/>
      <c r="CP1025" s="50"/>
      <c r="CQ1025" s="50"/>
      <c r="CR1025" s="50"/>
      <c r="CS1025" s="50"/>
    </row>
    <row r="1026" spans="1:97" ht="15" thickBot="1">
      <c r="A1026" s="49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111"/>
      <c r="AJ1026" s="111"/>
      <c r="AK1026" s="111"/>
      <c r="AL1026" s="111"/>
      <c r="AM1026" s="111"/>
      <c r="AN1026" s="111"/>
      <c r="AO1026" s="111"/>
      <c r="AP1026" s="111"/>
      <c r="AQ1026" s="111"/>
      <c r="AR1026" s="111"/>
      <c r="AS1026" s="111"/>
      <c r="AT1026" s="111"/>
      <c r="AU1026" s="111"/>
      <c r="AV1026" s="50"/>
      <c r="AW1026" s="50"/>
      <c r="AX1026" s="50"/>
      <c r="AY1026" s="50"/>
      <c r="AZ1026" s="50"/>
      <c r="BA1026" s="50"/>
      <c r="BB1026" s="50"/>
      <c r="BC1026" s="50"/>
      <c r="BD1026" s="50"/>
      <c r="BE1026" s="50"/>
      <c r="BF1026" s="50"/>
      <c r="BG1026" s="50"/>
      <c r="BH1026" s="50"/>
      <c r="BI1026" s="50"/>
      <c r="BJ1026" s="50"/>
      <c r="BK1026" s="50"/>
      <c r="BL1026" s="50"/>
      <c r="BM1026" s="50"/>
      <c r="BN1026" s="50"/>
      <c r="BO1026" s="50"/>
      <c r="BP1026" s="50"/>
      <c r="BQ1026" s="50"/>
      <c r="BR1026" s="50"/>
      <c r="BS1026" s="111"/>
      <c r="BT1026" s="50"/>
      <c r="BU1026" s="50"/>
      <c r="BV1026" s="50"/>
      <c r="BW1026" s="50"/>
      <c r="BX1026" s="50"/>
      <c r="BY1026" s="50"/>
      <c r="BZ1026" s="50"/>
      <c r="CA1026" s="50"/>
      <c r="CB1026" s="50"/>
      <c r="CC1026" s="50"/>
      <c r="CD1026" s="50"/>
      <c r="CE1026" s="50"/>
      <c r="CF1026" s="50"/>
      <c r="CG1026" s="50"/>
      <c r="CH1026" s="50"/>
      <c r="CI1026" s="50"/>
      <c r="CJ1026" s="50"/>
      <c r="CK1026" s="50"/>
      <c r="CL1026" s="50"/>
      <c r="CM1026" s="50"/>
      <c r="CN1026" s="50"/>
      <c r="CO1026" s="50"/>
      <c r="CP1026" s="50"/>
      <c r="CQ1026" s="50"/>
      <c r="CR1026" s="50"/>
      <c r="CS1026" s="50"/>
    </row>
    <row r="1027" spans="1:97" ht="15" thickBot="1">
      <c r="A1027" s="49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111"/>
      <c r="AJ1027" s="111"/>
      <c r="AK1027" s="111"/>
      <c r="AL1027" s="111"/>
      <c r="AM1027" s="111"/>
      <c r="AN1027" s="111"/>
      <c r="AO1027" s="111"/>
      <c r="AP1027" s="111"/>
      <c r="AQ1027" s="111"/>
      <c r="AR1027" s="111"/>
      <c r="AS1027" s="111"/>
      <c r="AT1027" s="111"/>
      <c r="AU1027" s="111"/>
      <c r="AV1027" s="50"/>
      <c r="AW1027" s="50"/>
      <c r="AX1027" s="50"/>
      <c r="AY1027" s="50"/>
      <c r="AZ1027" s="50"/>
      <c r="BA1027" s="50"/>
      <c r="BB1027" s="50"/>
      <c r="BC1027" s="50"/>
      <c r="BD1027" s="50"/>
      <c r="BE1027" s="50"/>
      <c r="BF1027" s="50"/>
      <c r="BG1027" s="50"/>
      <c r="BH1027" s="50"/>
      <c r="BI1027" s="50"/>
      <c r="BJ1027" s="50"/>
      <c r="BK1027" s="50"/>
      <c r="BL1027" s="50"/>
      <c r="BM1027" s="50"/>
      <c r="BN1027" s="50"/>
      <c r="BO1027" s="50"/>
      <c r="BP1027" s="50"/>
      <c r="BQ1027" s="50"/>
      <c r="BR1027" s="50"/>
      <c r="BS1027" s="111"/>
      <c r="BT1027" s="50"/>
      <c r="BU1027" s="50"/>
      <c r="BV1027" s="50"/>
      <c r="BW1027" s="50"/>
      <c r="BX1027" s="50"/>
      <c r="BY1027" s="50"/>
      <c r="BZ1027" s="50"/>
      <c r="CA1027" s="50"/>
      <c r="CB1027" s="50"/>
      <c r="CC1027" s="50"/>
      <c r="CD1027" s="50"/>
      <c r="CE1027" s="50"/>
      <c r="CF1027" s="50"/>
      <c r="CG1027" s="50"/>
      <c r="CH1027" s="50"/>
      <c r="CI1027" s="50"/>
      <c r="CJ1027" s="50"/>
      <c r="CK1027" s="50"/>
      <c r="CL1027" s="50"/>
      <c r="CM1027" s="50"/>
      <c r="CN1027" s="50"/>
      <c r="CO1027" s="50"/>
      <c r="CP1027" s="50"/>
      <c r="CQ1027" s="50"/>
      <c r="CR1027" s="50"/>
      <c r="CS1027" s="50"/>
    </row>
    <row r="1028" spans="1:97" ht="15" thickBot="1">
      <c r="A1028" s="49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111"/>
      <c r="AJ1028" s="111"/>
      <c r="AK1028" s="111"/>
      <c r="AL1028" s="111"/>
      <c r="AM1028" s="111"/>
      <c r="AN1028" s="111"/>
      <c r="AO1028" s="111"/>
      <c r="AP1028" s="111"/>
      <c r="AQ1028" s="111"/>
      <c r="AR1028" s="111"/>
      <c r="AS1028" s="111"/>
      <c r="AT1028" s="111"/>
      <c r="AU1028" s="111"/>
      <c r="AV1028" s="50"/>
      <c r="AW1028" s="50"/>
      <c r="AX1028" s="50"/>
      <c r="AY1028" s="50"/>
      <c r="AZ1028" s="50"/>
      <c r="BA1028" s="50"/>
      <c r="BB1028" s="50"/>
      <c r="BC1028" s="50"/>
      <c r="BD1028" s="50"/>
      <c r="BE1028" s="50"/>
      <c r="BF1028" s="50"/>
      <c r="BG1028" s="50"/>
      <c r="BH1028" s="50"/>
      <c r="BI1028" s="50"/>
      <c r="BJ1028" s="50"/>
      <c r="BK1028" s="50"/>
      <c r="BL1028" s="50"/>
      <c r="BM1028" s="50"/>
      <c r="BN1028" s="50"/>
      <c r="BO1028" s="50"/>
      <c r="BP1028" s="50"/>
      <c r="BQ1028" s="50"/>
      <c r="BR1028" s="50"/>
      <c r="BS1028" s="111"/>
      <c r="BT1028" s="50"/>
      <c r="BU1028" s="50"/>
      <c r="BV1028" s="50"/>
      <c r="BW1028" s="50"/>
      <c r="BX1028" s="50"/>
      <c r="BY1028" s="50"/>
      <c r="BZ1028" s="50"/>
      <c r="CA1028" s="50"/>
      <c r="CB1028" s="50"/>
      <c r="CC1028" s="50"/>
      <c r="CD1028" s="50"/>
      <c r="CE1028" s="50"/>
      <c r="CF1028" s="50"/>
      <c r="CG1028" s="50"/>
      <c r="CH1028" s="50"/>
      <c r="CI1028" s="50"/>
      <c r="CJ1028" s="50"/>
      <c r="CK1028" s="50"/>
      <c r="CL1028" s="50"/>
      <c r="CM1028" s="50"/>
      <c r="CN1028" s="50"/>
      <c r="CO1028" s="50"/>
      <c r="CP1028" s="50"/>
      <c r="CQ1028" s="50"/>
      <c r="CR1028" s="50"/>
      <c r="CS1028" s="50"/>
    </row>
    <row r="1029" spans="1:97" ht="15" thickBot="1">
      <c r="A1029" s="49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111"/>
      <c r="AJ1029" s="111"/>
      <c r="AK1029" s="111"/>
      <c r="AL1029" s="111"/>
      <c r="AM1029" s="111"/>
      <c r="AN1029" s="111"/>
      <c r="AO1029" s="111"/>
      <c r="AP1029" s="111"/>
      <c r="AQ1029" s="111"/>
      <c r="AR1029" s="111"/>
      <c r="AS1029" s="111"/>
      <c r="AT1029" s="111"/>
      <c r="AU1029" s="111"/>
      <c r="AV1029" s="50"/>
      <c r="AW1029" s="50"/>
      <c r="AX1029" s="50"/>
      <c r="AY1029" s="50"/>
      <c r="AZ1029" s="50"/>
      <c r="BA1029" s="50"/>
      <c r="BB1029" s="50"/>
      <c r="BC1029" s="50"/>
      <c r="BD1029" s="50"/>
      <c r="BE1029" s="50"/>
      <c r="BF1029" s="50"/>
      <c r="BG1029" s="50"/>
      <c r="BH1029" s="50"/>
      <c r="BI1029" s="50"/>
      <c r="BJ1029" s="50"/>
      <c r="BK1029" s="50"/>
      <c r="BL1029" s="50"/>
      <c r="BM1029" s="50"/>
      <c r="BN1029" s="50"/>
      <c r="BO1029" s="50"/>
      <c r="BP1029" s="50"/>
      <c r="BQ1029" s="50"/>
      <c r="BR1029" s="50"/>
      <c r="BS1029" s="111"/>
      <c r="BT1029" s="50"/>
      <c r="BU1029" s="50"/>
      <c r="BV1029" s="50"/>
      <c r="BW1029" s="50"/>
      <c r="BX1029" s="50"/>
      <c r="BY1029" s="50"/>
      <c r="BZ1029" s="50"/>
      <c r="CA1029" s="50"/>
      <c r="CB1029" s="50"/>
      <c r="CC1029" s="50"/>
      <c r="CD1029" s="50"/>
      <c r="CE1029" s="50"/>
      <c r="CF1029" s="50"/>
      <c r="CG1029" s="50"/>
      <c r="CH1029" s="50"/>
      <c r="CI1029" s="50"/>
      <c r="CJ1029" s="50"/>
      <c r="CK1029" s="50"/>
      <c r="CL1029" s="50"/>
      <c r="CM1029" s="50"/>
      <c r="CN1029" s="50"/>
      <c r="CO1029" s="50"/>
      <c r="CP1029" s="50"/>
      <c r="CQ1029" s="50"/>
      <c r="CR1029" s="50"/>
      <c r="CS1029" s="50"/>
    </row>
    <row r="1030" spans="1:97" ht="15" thickBot="1">
      <c r="A1030" s="49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111"/>
      <c r="AJ1030" s="111"/>
      <c r="AK1030" s="111"/>
      <c r="AL1030" s="111"/>
      <c r="AM1030" s="111"/>
      <c r="AN1030" s="111"/>
      <c r="AO1030" s="111"/>
      <c r="AP1030" s="111"/>
      <c r="AQ1030" s="111"/>
      <c r="AR1030" s="111"/>
      <c r="AS1030" s="111"/>
      <c r="AT1030" s="111"/>
      <c r="AU1030" s="111"/>
      <c r="AV1030" s="50"/>
      <c r="AW1030" s="50"/>
      <c r="AX1030" s="50"/>
      <c r="AY1030" s="50"/>
      <c r="AZ1030" s="50"/>
      <c r="BA1030" s="50"/>
      <c r="BB1030" s="50"/>
      <c r="BC1030" s="50"/>
      <c r="BD1030" s="50"/>
      <c r="BE1030" s="50"/>
      <c r="BF1030" s="50"/>
      <c r="BG1030" s="50"/>
      <c r="BH1030" s="50"/>
      <c r="BI1030" s="50"/>
      <c r="BJ1030" s="50"/>
      <c r="BK1030" s="50"/>
      <c r="BL1030" s="50"/>
      <c r="BM1030" s="50"/>
      <c r="BN1030" s="50"/>
      <c r="BO1030" s="50"/>
      <c r="BP1030" s="50"/>
      <c r="BQ1030" s="50"/>
      <c r="BR1030" s="50"/>
      <c r="BS1030" s="111"/>
      <c r="BT1030" s="50"/>
      <c r="BU1030" s="50"/>
      <c r="BV1030" s="50"/>
      <c r="BW1030" s="50"/>
      <c r="BX1030" s="50"/>
      <c r="BY1030" s="50"/>
      <c r="BZ1030" s="50"/>
      <c r="CA1030" s="50"/>
      <c r="CB1030" s="50"/>
      <c r="CC1030" s="50"/>
      <c r="CD1030" s="50"/>
      <c r="CE1030" s="50"/>
      <c r="CF1030" s="50"/>
      <c r="CG1030" s="50"/>
      <c r="CH1030" s="50"/>
      <c r="CI1030" s="50"/>
      <c r="CJ1030" s="50"/>
      <c r="CK1030" s="50"/>
      <c r="CL1030" s="50"/>
      <c r="CM1030" s="50"/>
      <c r="CN1030" s="50"/>
      <c r="CO1030" s="50"/>
      <c r="CP1030" s="50"/>
      <c r="CQ1030" s="50"/>
      <c r="CR1030" s="50"/>
      <c r="CS1030" s="50"/>
    </row>
    <row r="1031" spans="1:97" ht="15" thickBot="1">
      <c r="A1031" s="49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111"/>
      <c r="AJ1031" s="111"/>
      <c r="AK1031" s="111"/>
      <c r="AL1031" s="111"/>
      <c r="AM1031" s="111"/>
      <c r="AN1031" s="111"/>
      <c r="AO1031" s="111"/>
      <c r="AP1031" s="111"/>
      <c r="AQ1031" s="111"/>
      <c r="AR1031" s="111"/>
      <c r="AS1031" s="111"/>
      <c r="AT1031" s="111"/>
      <c r="AU1031" s="111"/>
      <c r="AV1031" s="50"/>
      <c r="AW1031" s="50"/>
      <c r="AX1031" s="50"/>
      <c r="AY1031" s="50"/>
      <c r="AZ1031" s="50"/>
      <c r="BA1031" s="50"/>
      <c r="BB1031" s="50"/>
      <c r="BC1031" s="50"/>
      <c r="BD1031" s="50"/>
      <c r="BE1031" s="50"/>
      <c r="BF1031" s="50"/>
      <c r="BG1031" s="50"/>
      <c r="BH1031" s="50"/>
      <c r="BI1031" s="50"/>
      <c r="BJ1031" s="50"/>
      <c r="BK1031" s="50"/>
      <c r="BL1031" s="50"/>
      <c r="BM1031" s="50"/>
      <c r="BN1031" s="50"/>
      <c r="BO1031" s="50"/>
      <c r="BP1031" s="50"/>
      <c r="BQ1031" s="50"/>
      <c r="BR1031" s="50"/>
      <c r="BS1031" s="111"/>
      <c r="BT1031" s="50"/>
      <c r="BU1031" s="50"/>
      <c r="BV1031" s="50"/>
      <c r="BW1031" s="50"/>
      <c r="BX1031" s="50"/>
      <c r="BY1031" s="50"/>
      <c r="BZ1031" s="50"/>
      <c r="CA1031" s="50"/>
      <c r="CB1031" s="50"/>
      <c r="CC1031" s="50"/>
      <c r="CD1031" s="50"/>
      <c r="CE1031" s="50"/>
      <c r="CF1031" s="50"/>
      <c r="CG1031" s="50"/>
      <c r="CH1031" s="50"/>
      <c r="CI1031" s="50"/>
      <c r="CJ1031" s="50"/>
      <c r="CK1031" s="50"/>
      <c r="CL1031" s="50"/>
      <c r="CM1031" s="50"/>
      <c r="CN1031" s="50"/>
      <c r="CO1031" s="50"/>
      <c r="CP1031" s="50"/>
      <c r="CQ1031" s="50"/>
      <c r="CR1031" s="50"/>
      <c r="CS1031" s="50"/>
    </row>
    <row r="1032" spans="1:97" ht="15" thickBot="1">
      <c r="A1032" s="49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111"/>
      <c r="AJ1032" s="111"/>
      <c r="AK1032" s="111"/>
      <c r="AL1032" s="111"/>
      <c r="AM1032" s="111"/>
      <c r="AN1032" s="111"/>
      <c r="AO1032" s="111"/>
      <c r="AP1032" s="111"/>
      <c r="AQ1032" s="111"/>
      <c r="AR1032" s="111"/>
      <c r="AS1032" s="111"/>
      <c r="AT1032" s="111"/>
      <c r="AU1032" s="111"/>
      <c r="AV1032" s="50"/>
      <c r="AW1032" s="50"/>
      <c r="AX1032" s="50"/>
      <c r="AY1032" s="50"/>
      <c r="AZ1032" s="50"/>
      <c r="BA1032" s="50"/>
      <c r="BB1032" s="50"/>
      <c r="BC1032" s="50"/>
      <c r="BD1032" s="50"/>
      <c r="BE1032" s="50"/>
      <c r="BF1032" s="50"/>
      <c r="BG1032" s="50"/>
      <c r="BH1032" s="50"/>
      <c r="BI1032" s="50"/>
      <c r="BJ1032" s="50"/>
      <c r="BK1032" s="50"/>
      <c r="BL1032" s="50"/>
      <c r="BM1032" s="50"/>
      <c r="BN1032" s="50"/>
      <c r="BO1032" s="50"/>
      <c r="BP1032" s="50"/>
      <c r="BQ1032" s="50"/>
      <c r="BR1032" s="50"/>
      <c r="BS1032" s="111"/>
      <c r="BT1032" s="50"/>
      <c r="BU1032" s="50"/>
      <c r="BV1032" s="50"/>
      <c r="BW1032" s="50"/>
      <c r="BX1032" s="50"/>
      <c r="BY1032" s="50"/>
      <c r="BZ1032" s="50"/>
      <c r="CA1032" s="50"/>
      <c r="CB1032" s="50"/>
      <c r="CC1032" s="50"/>
      <c r="CD1032" s="50"/>
      <c r="CE1032" s="50"/>
      <c r="CF1032" s="50"/>
      <c r="CG1032" s="50"/>
      <c r="CH1032" s="50"/>
      <c r="CI1032" s="50"/>
      <c r="CJ1032" s="50"/>
      <c r="CK1032" s="50"/>
      <c r="CL1032" s="50"/>
      <c r="CM1032" s="50"/>
      <c r="CN1032" s="50"/>
      <c r="CO1032" s="50"/>
      <c r="CP1032" s="50"/>
      <c r="CQ1032" s="50"/>
      <c r="CR1032" s="50"/>
      <c r="CS1032" s="50"/>
    </row>
    <row r="1033" spans="1:97" ht="15" thickBot="1">
      <c r="A1033" s="49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111"/>
      <c r="AJ1033" s="111"/>
      <c r="AK1033" s="111"/>
      <c r="AL1033" s="111"/>
      <c r="AM1033" s="111"/>
      <c r="AN1033" s="111"/>
      <c r="AO1033" s="111"/>
      <c r="AP1033" s="111"/>
      <c r="AQ1033" s="111"/>
      <c r="AR1033" s="111"/>
      <c r="AS1033" s="111"/>
      <c r="AT1033" s="111"/>
      <c r="AU1033" s="111"/>
      <c r="AV1033" s="50"/>
      <c r="AW1033" s="50"/>
      <c r="AX1033" s="50"/>
      <c r="AY1033" s="50"/>
      <c r="AZ1033" s="50"/>
      <c r="BA1033" s="50"/>
      <c r="BB1033" s="50"/>
      <c r="BC1033" s="50"/>
      <c r="BD1033" s="50"/>
      <c r="BE1033" s="50"/>
      <c r="BF1033" s="50"/>
      <c r="BG1033" s="50"/>
      <c r="BH1033" s="50"/>
      <c r="BI1033" s="50"/>
      <c r="BJ1033" s="50"/>
      <c r="BK1033" s="50"/>
      <c r="BL1033" s="50"/>
      <c r="BM1033" s="50"/>
      <c r="BN1033" s="50"/>
      <c r="BO1033" s="50"/>
      <c r="BP1033" s="50"/>
      <c r="BQ1033" s="50"/>
      <c r="BR1033" s="50"/>
      <c r="BS1033" s="111"/>
      <c r="BT1033" s="50"/>
      <c r="BU1033" s="50"/>
      <c r="BV1033" s="50"/>
      <c r="BW1033" s="50"/>
      <c r="BX1033" s="50"/>
      <c r="BY1033" s="50"/>
      <c r="BZ1033" s="50"/>
      <c r="CA1033" s="50"/>
      <c r="CB1033" s="50"/>
      <c r="CC1033" s="50"/>
      <c r="CD1033" s="50"/>
      <c r="CE1033" s="50"/>
      <c r="CF1033" s="50"/>
      <c r="CG1033" s="50"/>
      <c r="CH1033" s="50"/>
      <c r="CI1033" s="50"/>
      <c r="CJ1033" s="50"/>
      <c r="CK1033" s="50"/>
      <c r="CL1033" s="50"/>
      <c r="CM1033" s="50"/>
      <c r="CN1033" s="50"/>
      <c r="CO1033" s="50"/>
      <c r="CP1033" s="50"/>
      <c r="CQ1033" s="50"/>
      <c r="CR1033" s="50"/>
      <c r="CS1033" s="50"/>
    </row>
    <row r="1034" spans="1:97" ht="15" thickBot="1">
      <c r="A1034" s="49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111"/>
      <c r="O1034" s="111"/>
      <c r="P1034" s="111"/>
      <c r="Q1034" s="111"/>
      <c r="R1034" s="111"/>
      <c r="S1034" s="111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1"/>
      <c r="AF1034" s="111"/>
      <c r="AG1034" s="111"/>
      <c r="AH1034" s="111"/>
      <c r="AI1034" s="111"/>
      <c r="AJ1034" s="111"/>
      <c r="AK1034" s="111"/>
      <c r="AL1034" s="111"/>
      <c r="AM1034" s="111"/>
      <c r="AN1034" s="111"/>
      <c r="AO1034" s="111"/>
      <c r="AP1034" s="111"/>
      <c r="AQ1034" s="111"/>
      <c r="AR1034" s="111"/>
      <c r="AS1034" s="111"/>
      <c r="AT1034" s="111"/>
      <c r="AU1034" s="111"/>
      <c r="AV1034" s="50"/>
      <c r="AW1034" s="50"/>
      <c r="AX1034" s="50"/>
      <c r="AY1034" s="50"/>
      <c r="AZ1034" s="50"/>
      <c r="BA1034" s="50"/>
      <c r="BB1034" s="50"/>
      <c r="BC1034" s="50"/>
      <c r="BD1034" s="50"/>
      <c r="BE1034" s="50"/>
      <c r="BF1034" s="50"/>
      <c r="BG1034" s="50"/>
      <c r="BH1034" s="50"/>
      <c r="BI1034" s="50"/>
      <c r="BJ1034" s="50"/>
      <c r="BK1034" s="50"/>
      <c r="BL1034" s="50"/>
      <c r="BM1034" s="50"/>
      <c r="BN1034" s="50"/>
      <c r="BO1034" s="50"/>
      <c r="BP1034" s="50"/>
      <c r="BQ1034" s="50"/>
      <c r="BR1034" s="50"/>
      <c r="BS1034" s="111"/>
      <c r="BT1034" s="50"/>
      <c r="BU1034" s="50"/>
      <c r="BV1034" s="50"/>
      <c r="BW1034" s="50"/>
      <c r="BX1034" s="50"/>
      <c r="BY1034" s="50"/>
      <c r="BZ1034" s="50"/>
      <c r="CA1034" s="50"/>
      <c r="CB1034" s="50"/>
      <c r="CC1034" s="50"/>
      <c r="CD1034" s="50"/>
      <c r="CE1034" s="50"/>
      <c r="CF1034" s="50"/>
      <c r="CG1034" s="50"/>
      <c r="CH1034" s="50"/>
      <c r="CI1034" s="50"/>
      <c r="CJ1034" s="50"/>
      <c r="CK1034" s="50"/>
      <c r="CL1034" s="50"/>
      <c r="CM1034" s="50"/>
      <c r="CN1034" s="50"/>
      <c r="CO1034" s="50"/>
      <c r="CP1034" s="50"/>
      <c r="CQ1034" s="50"/>
      <c r="CR1034" s="50"/>
      <c r="CS1034" s="50"/>
    </row>
    <row r="1035" spans="1:97" ht="15" thickBot="1">
      <c r="A1035" s="49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111"/>
      <c r="O1035" s="111"/>
      <c r="P1035" s="111"/>
      <c r="Q1035" s="111"/>
      <c r="R1035" s="111"/>
      <c r="S1035" s="111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1"/>
      <c r="AF1035" s="111"/>
      <c r="AG1035" s="111"/>
      <c r="AH1035" s="111"/>
      <c r="AI1035" s="111"/>
      <c r="AJ1035" s="111"/>
      <c r="AK1035" s="111"/>
      <c r="AL1035" s="111"/>
      <c r="AM1035" s="111"/>
      <c r="AN1035" s="111"/>
      <c r="AO1035" s="111"/>
      <c r="AP1035" s="111"/>
      <c r="AQ1035" s="111"/>
      <c r="AR1035" s="111"/>
      <c r="AS1035" s="111"/>
      <c r="AT1035" s="111"/>
      <c r="AU1035" s="111"/>
      <c r="AV1035" s="50"/>
      <c r="AW1035" s="50"/>
      <c r="AX1035" s="50"/>
      <c r="AY1035" s="50"/>
      <c r="AZ1035" s="50"/>
      <c r="BA1035" s="50"/>
      <c r="BB1035" s="50"/>
      <c r="BC1035" s="50"/>
      <c r="BD1035" s="50"/>
      <c r="BE1035" s="50"/>
      <c r="BF1035" s="50"/>
      <c r="BG1035" s="50"/>
      <c r="BH1035" s="50"/>
      <c r="BI1035" s="50"/>
      <c r="BJ1035" s="50"/>
      <c r="BK1035" s="50"/>
      <c r="BL1035" s="50"/>
      <c r="BM1035" s="50"/>
      <c r="BN1035" s="50"/>
      <c r="BO1035" s="50"/>
      <c r="BP1035" s="50"/>
      <c r="BQ1035" s="50"/>
      <c r="BR1035" s="50"/>
      <c r="BS1035" s="111"/>
      <c r="BT1035" s="50"/>
      <c r="BU1035" s="50"/>
      <c r="BV1035" s="50"/>
      <c r="BW1035" s="50"/>
      <c r="BX1035" s="50"/>
      <c r="BY1035" s="50"/>
      <c r="BZ1035" s="50"/>
      <c r="CA1035" s="50"/>
      <c r="CB1035" s="50"/>
      <c r="CC1035" s="50"/>
      <c r="CD1035" s="50"/>
      <c r="CE1035" s="50"/>
      <c r="CF1035" s="50"/>
      <c r="CG1035" s="50"/>
      <c r="CH1035" s="50"/>
      <c r="CI1035" s="50"/>
      <c r="CJ1035" s="50"/>
      <c r="CK1035" s="50"/>
      <c r="CL1035" s="50"/>
      <c r="CM1035" s="50"/>
      <c r="CN1035" s="50"/>
      <c r="CO1035" s="50"/>
      <c r="CP1035" s="50"/>
      <c r="CQ1035" s="50"/>
      <c r="CR1035" s="50"/>
      <c r="CS1035" s="50"/>
    </row>
    <row r="1036" spans="1:97" ht="15" thickBot="1">
      <c r="A1036" s="49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111"/>
      <c r="O1036" s="111"/>
      <c r="P1036" s="111"/>
      <c r="Q1036" s="111"/>
      <c r="R1036" s="111"/>
      <c r="S1036" s="111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1"/>
      <c r="AF1036" s="111"/>
      <c r="AG1036" s="111"/>
      <c r="AH1036" s="111"/>
      <c r="AI1036" s="111"/>
      <c r="AJ1036" s="111"/>
      <c r="AK1036" s="111"/>
      <c r="AL1036" s="111"/>
      <c r="AM1036" s="111"/>
      <c r="AN1036" s="111"/>
      <c r="AO1036" s="111"/>
      <c r="AP1036" s="111"/>
      <c r="AQ1036" s="111"/>
      <c r="AR1036" s="111"/>
      <c r="AS1036" s="111"/>
      <c r="AT1036" s="111"/>
      <c r="AU1036" s="111"/>
      <c r="AV1036" s="50"/>
      <c r="AW1036" s="50"/>
      <c r="AX1036" s="50"/>
      <c r="AY1036" s="50"/>
      <c r="AZ1036" s="50"/>
      <c r="BA1036" s="50"/>
      <c r="BB1036" s="50"/>
      <c r="BC1036" s="50"/>
      <c r="BD1036" s="50"/>
      <c r="BE1036" s="50"/>
      <c r="BF1036" s="50"/>
      <c r="BG1036" s="50"/>
      <c r="BH1036" s="50"/>
      <c r="BI1036" s="50"/>
      <c r="BJ1036" s="50"/>
      <c r="BK1036" s="50"/>
      <c r="BL1036" s="50"/>
      <c r="BM1036" s="50"/>
      <c r="BN1036" s="50"/>
      <c r="BO1036" s="50"/>
      <c r="BP1036" s="50"/>
      <c r="BQ1036" s="50"/>
      <c r="BR1036" s="50"/>
      <c r="BS1036" s="111"/>
      <c r="BT1036" s="50"/>
      <c r="BU1036" s="50"/>
      <c r="BV1036" s="50"/>
      <c r="BW1036" s="50"/>
      <c r="BX1036" s="50"/>
      <c r="BY1036" s="50"/>
      <c r="BZ1036" s="50"/>
      <c r="CA1036" s="50"/>
      <c r="CB1036" s="50"/>
      <c r="CC1036" s="50"/>
      <c r="CD1036" s="50"/>
      <c r="CE1036" s="50"/>
      <c r="CF1036" s="50"/>
      <c r="CG1036" s="50"/>
      <c r="CH1036" s="50"/>
      <c r="CI1036" s="50"/>
      <c r="CJ1036" s="50"/>
      <c r="CK1036" s="50"/>
      <c r="CL1036" s="50"/>
      <c r="CM1036" s="50"/>
      <c r="CN1036" s="50"/>
      <c r="CO1036" s="50"/>
      <c r="CP1036" s="50"/>
      <c r="CQ1036" s="50"/>
      <c r="CR1036" s="50"/>
      <c r="CS1036" s="50"/>
    </row>
    <row r="1037" spans="1:97" ht="15" thickBot="1">
      <c r="A1037" s="49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111"/>
      <c r="O1037" s="111"/>
      <c r="P1037" s="111"/>
      <c r="Q1037" s="111"/>
      <c r="R1037" s="111"/>
      <c r="S1037" s="111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1"/>
      <c r="AF1037" s="111"/>
      <c r="AG1037" s="111"/>
      <c r="AH1037" s="111"/>
      <c r="AI1037" s="111"/>
      <c r="AJ1037" s="111"/>
      <c r="AK1037" s="111"/>
      <c r="AL1037" s="111"/>
      <c r="AM1037" s="111"/>
      <c r="AN1037" s="111"/>
      <c r="AO1037" s="111"/>
      <c r="AP1037" s="111"/>
      <c r="AQ1037" s="111"/>
      <c r="AR1037" s="111"/>
      <c r="AS1037" s="111"/>
      <c r="AT1037" s="111"/>
      <c r="AU1037" s="111"/>
      <c r="AV1037" s="50"/>
      <c r="AW1037" s="50"/>
      <c r="AX1037" s="50"/>
      <c r="AY1037" s="50"/>
      <c r="AZ1037" s="50"/>
      <c r="BA1037" s="50"/>
      <c r="BB1037" s="50"/>
      <c r="BC1037" s="50"/>
      <c r="BD1037" s="50"/>
      <c r="BE1037" s="50"/>
      <c r="BF1037" s="50"/>
      <c r="BG1037" s="50"/>
      <c r="BH1037" s="50"/>
      <c r="BI1037" s="50"/>
      <c r="BJ1037" s="50"/>
      <c r="BK1037" s="50"/>
      <c r="BL1037" s="50"/>
      <c r="BM1037" s="50"/>
      <c r="BN1037" s="50"/>
      <c r="BO1037" s="50"/>
      <c r="BP1037" s="50"/>
      <c r="BQ1037" s="50"/>
      <c r="BR1037" s="50"/>
      <c r="BS1037" s="111"/>
      <c r="BT1037" s="50"/>
      <c r="BU1037" s="50"/>
      <c r="BV1037" s="50"/>
      <c r="BW1037" s="50"/>
      <c r="BX1037" s="50"/>
      <c r="BY1037" s="50"/>
      <c r="BZ1037" s="50"/>
      <c r="CA1037" s="50"/>
      <c r="CB1037" s="50"/>
      <c r="CC1037" s="50"/>
      <c r="CD1037" s="50"/>
      <c r="CE1037" s="50"/>
      <c r="CF1037" s="50"/>
      <c r="CG1037" s="50"/>
      <c r="CH1037" s="50"/>
      <c r="CI1037" s="50"/>
      <c r="CJ1037" s="50"/>
      <c r="CK1037" s="50"/>
      <c r="CL1037" s="50"/>
      <c r="CM1037" s="50"/>
      <c r="CN1037" s="50"/>
      <c r="CO1037" s="50"/>
      <c r="CP1037" s="50"/>
      <c r="CQ1037" s="50"/>
      <c r="CR1037" s="50"/>
      <c r="CS1037" s="50"/>
    </row>
    <row r="1038" spans="1:97" ht="15" thickBot="1">
      <c r="A1038" s="49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111"/>
      <c r="O1038" s="111"/>
      <c r="P1038" s="111"/>
      <c r="Q1038" s="111"/>
      <c r="R1038" s="111"/>
      <c r="S1038" s="111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111"/>
      <c r="AJ1038" s="111"/>
      <c r="AK1038" s="111"/>
      <c r="AL1038" s="111"/>
      <c r="AM1038" s="111"/>
      <c r="AN1038" s="111"/>
      <c r="AO1038" s="111"/>
      <c r="AP1038" s="111"/>
      <c r="AQ1038" s="111"/>
      <c r="AR1038" s="111"/>
      <c r="AS1038" s="111"/>
      <c r="AT1038" s="111"/>
      <c r="AU1038" s="111"/>
      <c r="AV1038" s="50"/>
      <c r="AW1038" s="50"/>
      <c r="AX1038" s="50"/>
      <c r="AY1038" s="50"/>
      <c r="AZ1038" s="50"/>
      <c r="BA1038" s="50"/>
      <c r="BB1038" s="50"/>
      <c r="BC1038" s="50"/>
      <c r="BD1038" s="50"/>
      <c r="BE1038" s="50"/>
      <c r="BF1038" s="50"/>
      <c r="BG1038" s="50"/>
      <c r="BH1038" s="50"/>
      <c r="BI1038" s="50"/>
      <c r="BJ1038" s="50"/>
      <c r="BK1038" s="50"/>
      <c r="BL1038" s="50"/>
      <c r="BM1038" s="50"/>
      <c r="BN1038" s="50"/>
      <c r="BO1038" s="50"/>
      <c r="BP1038" s="50"/>
      <c r="BQ1038" s="50"/>
      <c r="BR1038" s="50"/>
      <c r="BS1038" s="111"/>
      <c r="BT1038" s="50"/>
      <c r="BU1038" s="50"/>
      <c r="BV1038" s="50"/>
      <c r="BW1038" s="50"/>
      <c r="BX1038" s="50"/>
      <c r="BY1038" s="50"/>
      <c r="BZ1038" s="50"/>
      <c r="CA1038" s="50"/>
      <c r="CB1038" s="50"/>
      <c r="CC1038" s="50"/>
      <c r="CD1038" s="50"/>
      <c r="CE1038" s="50"/>
      <c r="CF1038" s="50"/>
      <c r="CG1038" s="50"/>
      <c r="CH1038" s="50"/>
      <c r="CI1038" s="50"/>
      <c r="CJ1038" s="50"/>
      <c r="CK1038" s="50"/>
      <c r="CL1038" s="50"/>
      <c r="CM1038" s="50"/>
      <c r="CN1038" s="50"/>
      <c r="CO1038" s="50"/>
      <c r="CP1038" s="50"/>
      <c r="CQ1038" s="50"/>
      <c r="CR1038" s="50"/>
      <c r="CS1038" s="50"/>
    </row>
    <row r="1039" spans="1:97" ht="15" thickBot="1">
      <c r="A1039" s="49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111"/>
      <c r="O1039" s="111"/>
      <c r="P1039" s="111"/>
      <c r="Q1039" s="111"/>
      <c r="R1039" s="111"/>
      <c r="S1039" s="111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1"/>
      <c r="AF1039" s="111"/>
      <c r="AG1039" s="111"/>
      <c r="AH1039" s="111"/>
      <c r="AI1039" s="111"/>
      <c r="AJ1039" s="111"/>
      <c r="AK1039" s="111"/>
      <c r="AL1039" s="111"/>
      <c r="AM1039" s="111"/>
      <c r="AN1039" s="111"/>
      <c r="AO1039" s="111"/>
      <c r="AP1039" s="111"/>
      <c r="AQ1039" s="111"/>
      <c r="AR1039" s="111"/>
      <c r="AS1039" s="111"/>
      <c r="AT1039" s="111"/>
      <c r="AU1039" s="111"/>
      <c r="AV1039" s="50"/>
      <c r="AW1039" s="50"/>
      <c r="AX1039" s="50"/>
      <c r="AY1039" s="50"/>
      <c r="AZ1039" s="50"/>
      <c r="BA1039" s="50"/>
      <c r="BB1039" s="50"/>
      <c r="BC1039" s="50"/>
      <c r="BD1039" s="50"/>
      <c r="BE1039" s="50"/>
      <c r="BF1039" s="50"/>
      <c r="BG1039" s="50"/>
      <c r="BH1039" s="50"/>
      <c r="BI1039" s="50"/>
      <c r="BJ1039" s="50"/>
      <c r="BK1039" s="50"/>
      <c r="BL1039" s="50"/>
      <c r="BM1039" s="50"/>
      <c r="BN1039" s="50"/>
      <c r="BO1039" s="50"/>
      <c r="BP1039" s="50"/>
      <c r="BQ1039" s="50"/>
      <c r="BR1039" s="50"/>
      <c r="BS1039" s="111"/>
      <c r="BT1039" s="50"/>
      <c r="BU1039" s="50"/>
      <c r="BV1039" s="50"/>
      <c r="BW1039" s="50"/>
      <c r="BX1039" s="50"/>
      <c r="BY1039" s="50"/>
      <c r="BZ1039" s="50"/>
      <c r="CA1039" s="50"/>
      <c r="CB1039" s="50"/>
      <c r="CC1039" s="50"/>
      <c r="CD1039" s="50"/>
      <c r="CE1039" s="50"/>
      <c r="CF1039" s="50"/>
      <c r="CG1039" s="50"/>
      <c r="CH1039" s="50"/>
      <c r="CI1039" s="50"/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</row>
    <row r="1040" spans="1:97" ht="15" thickBot="1">
      <c r="A1040" s="49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111"/>
      <c r="O1040" s="111"/>
      <c r="P1040" s="111"/>
      <c r="Q1040" s="111"/>
      <c r="R1040" s="111"/>
      <c r="S1040" s="111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1"/>
      <c r="AF1040" s="111"/>
      <c r="AG1040" s="111"/>
      <c r="AH1040" s="111"/>
      <c r="AI1040" s="111"/>
      <c r="AJ1040" s="111"/>
      <c r="AK1040" s="111"/>
      <c r="AL1040" s="111"/>
      <c r="AM1040" s="111"/>
      <c r="AN1040" s="111"/>
      <c r="AO1040" s="111"/>
      <c r="AP1040" s="111"/>
      <c r="AQ1040" s="111"/>
      <c r="AR1040" s="111"/>
      <c r="AS1040" s="111"/>
      <c r="AT1040" s="111"/>
      <c r="AU1040" s="111"/>
      <c r="AV1040" s="50"/>
      <c r="AW1040" s="50"/>
      <c r="AX1040" s="50"/>
      <c r="AY1040" s="50"/>
      <c r="AZ1040" s="50"/>
      <c r="BA1040" s="50"/>
      <c r="BB1040" s="50"/>
      <c r="BC1040" s="50"/>
      <c r="BD1040" s="50"/>
      <c r="BE1040" s="50"/>
      <c r="BF1040" s="50"/>
      <c r="BG1040" s="50"/>
      <c r="BH1040" s="50"/>
      <c r="BI1040" s="50"/>
      <c r="BJ1040" s="50"/>
      <c r="BK1040" s="50"/>
      <c r="BL1040" s="50"/>
      <c r="BM1040" s="50"/>
      <c r="BN1040" s="50"/>
      <c r="BO1040" s="50"/>
      <c r="BP1040" s="50"/>
      <c r="BQ1040" s="50"/>
      <c r="BR1040" s="50"/>
      <c r="BS1040" s="111"/>
      <c r="BT1040" s="50"/>
      <c r="BU1040" s="50"/>
      <c r="BV1040" s="50"/>
      <c r="BW1040" s="50"/>
      <c r="BX1040" s="50"/>
      <c r="BY1040" s="50"/>
      <c r="BZ1040" s="50"/>
      <c r="CA1040" s="50"/>
      <c r="CB1040" s="50"/>
      <c r="CC1040" s="50"/>
      <c r="CD1040" s="50"/>
      <c r="CE1040" s="50"/>
      <c r="CF1040" s="50"/>
      <c r="CG1040" s="50"/>
      <c r="CH1040" s="50"/>
      <c r="CI1040" s="50"/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</row>
    <row r="1041" spans="1:97" ht="15" thickBot="1">
      <c r="A1041" s="49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111"/>
      <c r="O1041" s="111"/>
      <c r="P1041" s="111"/>
      <c r="Q1041" s="111"/>
      <c r="R1041" s="111"/>
      <c r="S1041" s="111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1"/>
      <c r="AF1041" s="111"/>
      <c r="AG1041" s="111"/>
      <c r="AH1041" s="111"/>
      <c r="AI1041" s="111"/>
      <c r="AJ1041" s="111"/>
      <c r="AK1041" s="111"/>
      <c r="AL1041" s="111"/>
      <c r="AM1041" s="111"/>
      <c r="AN1041" s="111"/>
      <c r="AO1041" s="111"/>
      <c r="AP1041" s="111"/>
      <c r="AQ1041" s="111"/>
      <c r="AR1041" s="111"/>
      <c r="AS1041" s="111"/>
      <c r="AT1041" s="111"/>
      <c r="AU1041" s="111"/>
      <c r="AV1041" s="50"/>
      <c r="AW1041" s="50"/>
      <c r="AX1041" s="50"/>
      <c r="AY1041" s="50"/>
      <c r="AZ1041" s="50"/>
      <c r="BA1041" s="50"/>
      <c r="BB1041" s="50"/>
      <c r="BC1041" s="50"/>
      <c r="BD1041" s="50"/>
      <c r="BE1041" s="50"/>
      <c r="BF1041" s="50"/>
      <c r="BG1041" s="50"/>
      <c r="BH1041" s="50"/>
      <c r="BI1041" s="50"/>
      <c r="BJ1041" s="50"/>
      <c r="BK1041" s="50"/>
      <c r="BL1041" s="50"/>
      <c r="BM1041" s="50"/>
      <c r="BN1041" s="50"/>
      <c r="BO1041" s="50"/>
      <c r="BP1041" s="50"/>
      <c r="BQ1041" s="50"/>
      <c r="BR1041" s="50"/>
      <c r="BS1041" s="111"/>
      <c r="BT1041" s="50"/>
      <c r="BU1041" s="50"/>
      <c r="BV1041" s="50"/>
      <c r="BW1041" s="50"/>
      <c r="BX1041" s="50"/>
      <c r="BY1041" s="50"/>
      <c r="BZ1041" s="50"/>
      <c r="CA1041" s="50"/>
      <c r="CB1041" s="50"/>
      <c r="CC1041" s="50"/>
      <c r="CD1041" s="50"/>
      <c r="CE1041" s="50"/>
      <c r="CF1041" s="50"/>
      <c r="CG1041" s="50"/>
      <c r="CH1041" s="50"/>
      <c r="CI1041" s="50"/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</row>
    <row r="1042" spans="1:97" ht="15" thickBot="1">
      <c r="A1042" s="49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111"/>
      <c r="O1042" s="111"/>
      <c r="P1042" s="111"/>
      <c r="Q1042" s="111"/>
      <c r="R1042" s="111"/>
      <c r="S1042" s="111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1"/>
      <c r="AF1042" s="111"/>
      <c r="AG1042" s="111"/>
      <c r="AH1042" s="111"/>
      <c r="AI1042" s="111"/>
      <c r="AJ1042" s="111"/>
      <c r="AK1042" s="111"/>
      <c r="AL1042" s="111"/>
      <c r="AM1042" s="111"/>
      <c r="AN1042" s="111"/>
      <c r="AO1042" s="111"/>
      <c r="AP1042" s="111"/>
      <c r="AQ1042" s="111"/>
      <c r="AR1042" s="111"/>
      <c r="AS1042" s="111"/>
      <c r="AT1042" s="111"/>
      <c r="AU1042" s="111"/>
      <c r="AV1042" s="50"/>
      <c r="AW1042" s="50"/>
      <c r="AX1042" s="50"/>
      <c r="AY1042" s="50"/>
      <c r="AZ1042" s="50"/>
      <c r="BA1042" s="50"/>
      <c r="BB1042" s="50"/>
      <c r="BC1042" s="50"/>
      <c r="BD1042" s="50"/>
      <c r="BE1042" s="50"/>
      <c r="BF1042" s="50"/>
      <c r="BG1042" s="50"/>
      <c r="BH1042" s="50"/>
      <c r="BI1042" s="50"/>
      <c r="BJ1042" s="50"/>
      <c r="BK1042" s="50"/>
      <c r="BL1042" s="50"/>
      <c r="BM1042" s="50"/>
      <c r="BN1042" s="50"/>
      <c r="BO1042" s="50"/>
      <c r="BP1042" s="50"/>
      <c r="BQ1042" s="50"/>
      <c r="BR1042" s="50"/>
      <c r="BS1042" s="111"/>
      <c r="BT1042" s="50"/>
      <c r="BU1042" s="50"/>
      <c r="BV1042" s="50"/>
      <c r="BW1042" s="50"/>
      <c r="BX1042" s="50"/>
      <c r="BY1042" s="50"/>
      <c r="BZ1042" s="50"/>
      <c r="CA1042" s="50"/>
      <c r="CB1042" s="50"/>
      <c r="CC1042" s="50"/>
      <c r="CD1042" s="50"/>
      <c r="CE1042" s="50"/>
      <c r="CF1042" s="50"/>
      <c r="CG1042" s="50"/>
      <c r="CH1042" s="50"/>
      <c r="CI1042" s="50"/>
      <c r="CJ1042" s="50"/>
      <c r="CK1042" s="50"/>
      <c r="CL1042" s="50"/>
      <c r="CM1042" s="50"/>
      <c r="CN1042" s="50"/>
      <c r="CO1042" s="50"/>
      <c r="CP1042" s="50"/>
      <c r="CQ1042" s="50"/>
      <c r="CR1042" s="50"/>
      <c r="CS1042" s="50"/>
    </row>
    <row r="1043" spans="1:97" ht="15" thickBot="1">
      <c r="A1043" s="49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111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1"/>
      <c r="AF1043" s="111"/>
      <c r="AG1043" s="111"/>
      <c r="AH1043" s="111"/>
      <c r="AI1043" s="111"/>
      <c r="AJ1043" s="111"/>
      <c r="AK1043" s="111"/>
      <c r="AL1043" s="111"/>
      <c r="AM1043" s="111"/>
      <c r="AN1043" s="111"/>
      <c r="AO1043" s="111"/>
      <c r="AP1043" s="111"/>
      <c r="AQ1043" s="111"/>
      <c r="AR1043" s="111"/>
      <c r="AS1043" s="111"/>
      <c r="AT1043" s="111"/>
      <c r="AU1043" s="111"/>
      <c r="AV1043" s="50"/>
      <c r="AW1043" s="50"/>
      <c r="AX1043" s="50"/>
      <c r="AY1043" s="50"/>
      <c r="AZ1043" s="50"/>
      <c r="BA1043" s="50"/>
      <c r="BB1043" s="50"/>
      <c r="BC1043" s="50"/>
      <c r="BD1043" s="50"/>
      <c r="BE1043" s="50"/>
      <c r="BF1043" s="50"/>
      <c r="BG1043" s="50"/>
      <c r="BH1043" s="50"/>
      <c r="BI1043" s="50"/>
      <c r="BJ1043" s="50"/>
      <c r="BK1043" s="50"/>
      <c r="BL1043" s="50"/>
      <c r="BM1043" s="50"/>
      <c r="BN1043" s="50"/>
      <c r="BO1043" s="50"/>
      <c r="BP1043" s="50"/>
      <c r="BQ1043" s="50"/>
      <c r="BR1043" s="50"/>
      <c r="BS1043" s="111"/>
      <c r="BT1043" s="50"/>
      <c r="BU1043" s="50"/>
      <c r="BV1043" s="50"/>
      <c r="BW1043" s="50"/>
      <c r="BX1043" s="50"/>
      <c r="BY1043" s="50"/>
      <c r="BZ1043" s="50"/>
      <c r="CA1043" s="50"/>
      <c r="CB1043" s="50"/>
      <c r="CC1043" s="50"/>
      <c r="CD1043" s="50"/>
      <c r="CE1043" s="50"/>
      <c r="CF1043" s="50"/>
      <c r="CG1043" s="50"/>
      <c r="CH1043" s="50"/>
      <c r="CI1043" s="50"/>
      <c r="CJ1043" s="50"/>
      <c r="CK1043" s="50"/>
      <c r="CL1043" s="50"/>
      <c r="CM1043" s="50"/>
      <c r="CN1043" s="50"/>
      <c r="CO1043" s="50"/>
      <c r="CP1043" s="50"/>
      <c r="CQ1043" s="50"/>
      <c r="CR1043" s="50"/>
      <c r="CS1043" s="50"/>
    </row>
    <row r="1044" spans="1:97" ht="15" thickBot="1">
      <c r="A1044" s="49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111"/>
      <c r="O1044" s="111"/>
      <c r="P1044" s="111"/>
      <c r="Q1044" s="111"/>
      <c r="R1044" s="111"/>
      <c r="S1044" s="111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111"/>
      <c r="AO1044" s="111"/>
      <c r="AP1044" s="111"/>
      <c r="AQ1044" s="111"/>
      <c r="AR1044" s="111"/>
      <c r="AS1044" s="111"/>
      <c r="AT1044" s="111"/>
      <c r="AU1044" s="111"/>
      <c r="AV1044" s="50"/>
      <c r="AW1044" s="50"/>
      <c r="AX1044" s="50"/>
      <c r="AY1044" s="50"/>
      <c r="AZ1044" s="50"/>
      <c r="BA1044" s="50"/>
      <c r="BB1044" s="50"/>
      <c r="BC1044" s="50"/>
      <c r="BD1044" s="50"/>
      <c r="BE1044" s="50"/>
      <c r="BF1044" s="50"/>
      <c r="BG1044" s="50"/>
      <c r="BH1044" s="50"/>
      <c r="BI1044" s="50"/>
      <c r="BJ1044" s="50"/>
      <c r="BK1044" s="50"/>
      <c r="BL1044" s="50"/>
      <c r="BM1044" s="50"/>
      <c r="BN1044" s="50"/>
      <c r="BO1044" s="50"/>
      <c r="BP1044" s="50"/>
      <c r="BQ1044" s="50"/>
      <c r="BR1044" s="50"/>
      <c r="BS1044" s="111"/>
      <c r="BT1044" s="50"/>
      <c r="BU1044" s="50"/>
      <c r="BV1044" s="50"/>
      <c r="BW1044" s="50"/>
      <c r="BX1044" s="50"/>
      <c r="BY1044" s="50"/>
      <c r="BZ1044" s="50"/>
      <c r="CA1044" s="50"/>
      <c r="CB1044" s="50"/>
      <c r="CC1044" s="50"/>
      <c r="CD1044" s="50"/>
      <c r="CE1044" s="50"/>
      <c r="CF1044" s="50"/>
      <c r="CG1044" s="50"/>
      <c r="CH1044" s="50"/>
      <c r="CI1044" s="50"/>
      <c r="CJ1044" s="50"/>
      <c r="CK1044" s="50"/>
      <c r="CL1044" s="50"/>
      <c r="CM1044" s="50"/>
      <c r="CN1044" s="50"/>
      <c r="CO1044" s="50"/>
      <c r="CP1044" s="50"/>
      <c r="CQ1044" s="50"/>
      <c r="CR1044" s="50"/>
      <c r="CS1044" s="50"/>
    </row>
    <row r="1045" spans="1:97" ht="15" thickBot="1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111"/>
      <c r="O1045" s="111"/>
      <c r="P1045" s="111"/>
      <c r="Q1045" s="111"/>
      <c r="R1045" s="111"/>
      <c r="S1045" s="111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1"/>
      <c r="AF1045" s="111"/>
      <c r="AG1045" s="111"/>
      <c r="AH1045" s="111"/>
      <c r="AI1045" s="111"/>
      <c r="AJ1045" s="111"/>
      <c r="AK1045" s="111"/>
      <c r="AL1045" s="111"/>
      <c r="AM1045" s="111"/>
      <c r="AN1045" s="111"/>
      <c r="AO1045" s="111"/>
      <c r="AP1045" s="111"/>
      <c r="AQ1045" s="111"/>
      <c r="AR1045" s="111"/>
      <c r="AS1045" s="111"/>
      <c r="AT1045" s="111"/>
      <c r="AU1045" s="111"/>
      <c r="AV1045" s="50"/>
      <c r="AW1045" s="50"/>
      <c r="AX1045" s="50"/>
      <c r="AY1045" s="50"/>
      <c r="AZ1045" s="50"/>
      <c r="BA1045" s="50"/>
      <c r="BB1045" s="50"/>
      <c r="BC1045" s="50"/>
      <c r="BD1045" s="50"/>
      <c r="BE1045" s="50"/>
      <c r="BF1045" s="50"/>
      <c r="BG1045" s="50"/>
      <c r="BH1045" s="50"/>
      <c r="BI1045" s="50"/>
      <c r="BJ1045" s="50"/>
      <c r="BK1045" s="50"/>
      <c r="BL1045" s="50"/>
      <c r="BM1045" s="50"/>
      <c r="BN1045" s="50"/>
      <c r="BO1045" s="50"/>
      <c r="BP1045" s="50"/>
      <c r="BQ1045" s="50"/>
      <c r="BR1045" s="50"/>
      <c r="BS1045" s="111"/>
      <c r="BT1045" s="50"/>
      <c r="BU1045" s="50"/>
      <c r="BV1045" s="50"/>
      <c r="BW1045" s="50"/>
      <c r="BX1045" s="50"/>
      <c r="BY1045" s="50"/>
      <c r="BZ1045" s="50"/>
      <c r="CA1045" s="50"/>
      <c r="CB1045" s="50"/>
      <c r="CC1045" s="50"/>
      <c r="CD1045" s="50"/>
      <c r="CE1045" s="50"/>
      <c r="CF1045" s="50"/>
      <c r="CG1045" s="50"/>
      <c r="CH1045" s="50"/>
      <c r="CI1045" s="50"/>
      <c r="CJ1045" s="50"/>
      <c r="CK1045" s="50"/>
      <c r="CL1045" s="50"/>
      <c r="CM1045" s="50"/>
      <c r="CN1045" s="50"/>
      <c r="CO1045" s="50"/>
      <c r="CP1045" s="50"/>
      <c r="CQ1045" s="50"/>
      <c r="CR1045" s="50"/>
      <c r="CS1045" s="50"/>
    </row>
    <row r="1046" spans="1:97" ht="15" thickBot="1">
      <c r="A1046" s="49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111"/>
      <c r="O1046" s="111"/>
      <c r="P1046" s="111"/>
      <c r="Q1046" s="111"/>
      <c r="R1046" s="111"/>
      <c r="S1046" s="111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111"/>
      <c r="AJ1046" s="111"/>
      <c r="AK1046" s="111"/>
      <c r="AL1046" s="111"/>
      <c r="AM1046" s="111"/>
      <c r="AN1046" s="111"/>
      <c r="AO1046" s="111"/>
      <c r="AP1046" s="111"/>
      <c r="AQ1046" s="111"/>
      <c r="AR1046" s="111"/>
      <c r="AS1046" s="111"/>
      <c r="AT1046" s="111"/>
      <c r="AU1046" s="111"/>
      <c r="AV1046" s="50"/>
      <c r="AW1046" s="50"/>
      <c r="AX1046" s="50"/>
      <c r="AY1046" s="50"/>
      <c r="AZ1046" s="50"/>
      <c r="BA1046" s="50"/>
      <c r="BB1046" s="50"/>
      <c r="BC1046" s="50"/>
      <c r="BD1046" s="50"/>
      <c r="BE1046" s="50"/>
      <c r="BF1046" s="50"/>
      <c r="BG1046" s="50"/>
      <c r="BH1046" s="50"/>
      <c r="BI1046" s="50"/>
      <c r="BJ1046" s="50"/>
      <c r="BK1046" s="50"/>
      <c r="BL1046" s="50"/>
      <c r="BM1046" s="50"/>
      <c r="BN1046" s="50"/>
      <c r="BO1046" s="50"/>
      <c r="BP1046" s="50"/>
      <c r="BQ1046" s="50"/>
      <c r="BR1046" s="50"/>
      <c r="BS1046" s="111"/>
      <c r="BT1046" s="50"/>
      <c r="BU1046" s="50"/>
      <c r="BV1046" s="50"/>
      <c r="BW1046" s="50"/>
      <c r="BX1046" s="50"/>
      <c r="BY1046" s="50"/>
      <c r="BZ1046" s="50"/>
      <c r="CA1046" s="50"/>
      <c r="CB1046" s="50"/>
      <c r="CC1046" s="50"/>
      <c r="CD1046" s="50"/>
      <c r="CE1046" s="50"/>
      <c r="CF1046" s="50"/>
      <c r="CG1046" s="50"/>
      <c r="CH1046" s="50"/>
      <c r="CI1046" s="50"/>
      <c r="CJ1046" s="50"/>
      <c r="CK1046" s="50"/>
      <c r="CL1046" s="50"/>
      <c r="CM1046" s="50"/>
      <c r="CN1046" s="50"/>
      <c r="CO1046" s="50"/>
      <c r="CP1046" s="50"/>
      <c r="CQ1046" s="50"/>
      <c r="CR1046" s="50"/>
      <c r="CS1046" s="50"/>
    </row>
    <row r="1047" spans="1:97" ht="15" thickBot="1">
      <c r="A1047" s="49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111"/>
      <c r="O1047" s="111"/>
      <c r="P1047" s="111"/>
      <c r="Q1047" s="111"/>
      <c r="R1047" s="111"/>
      <c r="S1047" s="111"/>
      <c r="T1047" s="111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111"/>
      <c r="AO1047" s="111"/>
      <c r="AP1047" s="111"/>
      <c r="AQ1047" s="111"/>
      <c r="AR1047" s="111"/>
      <c r="AS1047" s="111"/>
      <c r="AT1047" s="111"/>
      <c r="AU1047" s="111"/>
      <c r="AV1047" s="50"/>
      <c r="AW1047" s="50"/>
      <c r="AX1047" s="50"/>
      <c r="AY1047" s="50"/>
      <c r="AZ1047" s="50"/>
      <c r="BA1047" s="50"/>
      <c r="BB1047" s="50"/>
      <c r="BC1047" s="50"/>
      <c r="BD1047" s="50"/>
      <c r="BE1047" s="50"/>
      <c r="BF1047" s="50"/>
      <c r="BG1047" s="50"/>
      <c r="BH1047" s="50"/>
      <c r="BI1047" s="50"/>
      <c r="BJ1047" s="50"/>
      <c r="BK1047" s="50"/>
      <c r="BL1047" s="50"/>
      <c r="BM1047" s="50"/>
      <c r="BN1047" s="50"/>
      <c r="BO1047" s="50"/>
      <c r="BP1047" s="50"/>
      <c r="BQ1047" s="50"/>
      <c r="BR1047" s="50"/>
      <c r="BS1047" s="111"/>
      <c r="BT1047" s="50"/>
      <c r="BU1047" s="50"/>
      <c r="BV1047" s="50"/>
      <c r="BW1047" s="50"/>
      <c r="BX1047" s="50"/>
      <c r="BY1047" s="50"/>
      <c r="BZ1047" s="50"/>
      <c r="CA1047" s="50"/>
      <c r="CB1047" s="50"/>
      <c r="CC1047" s="50"/>
      <c r="CD1047" s="50"/>
      <c r="CE1047" s="50"/>
      <c r="CF1047" s="50"/>
      <c r="CG1047" s="50"/>
      <c r="CH1047" s="50"/>
      <c r="CI1047" s="50"/>
      <c r="CJ1047" s="50"/>
      <c r="CK1047" s="50"/>
      <c r="CL1047" s="50"/>
      <c r="CM1047" s="50"/>
      <c r="CN1047" s="50"/>
      <c r="CO1047" s="50"/>
      <c r="CP1047" s="50"/>
      <c r="CQ1047" s="50"/>
      <c r="CR1047" s="50"/>
      <c r="CS1047" s="50"/>
    </row>
    <row r="1048" spans="1:97" ht="15" thickBot="1">
      <c r="A1048" s="49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111"/>
      <c r="O1048" s="111"/>
      <c r="P1048" s="111"/>
      <c r="Q1048" s="111"/>
      <c r="R1048" s="111"/>
      <c r="S1048" s="111"/>
      <c r="T1048" s="111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111"/>
      <c r="AJ1048" s="111"/>
      <c r="AK1048" s="111"/>
      <c r="AL1048" s="111"/>
      <c r="AM1048" s="111"/>
      <c r="AN1048" s="111"/>
      <c r="AO1048" s="111"/>
      <c r="AP1048" s="111"/>
      <c r="AQ1048" s="111"/>
      <c r="AR1048" s="111"/>
      <c r="AS1048" s="111"/>
      <c r="AT1048" s="111"/>
      <c r="AU1048" s="111"/>
      <c r="AV1048" s="50"/>
      <c r="AW1048" s="50"/>
      <c r="AX1048" s="50"/>
      <c r="AY1048" s="50"/>
      <c r="AZ1048" s="50"/>
      <c r="BA1048" s="50"/>
      <c r="BB1048" s="50"/>
      <c r="BC1048" s="50"/>
      <c r="BD1048" s="50"/>
      <c r="BE1048" s="50"/>
      <c r="BF1048" s="50"/>
      <c r="BG1048" s="50"/>
      <c r="BH1048" s="50"/>
      <c r="BI1048" s="50"/>
      <c r="BJ1048" s="50"/>
      <c r="BK1048" s="50"/>
      <c r="BL1048" s="50"/>
      <c r="BM1048" s="50"/>
      <c r="BN1048" s="50"/>
      <c r="BO1048" s="50"/>
      <c r="BP1048" s="50"/>
      <c r="BQ1048" s="50"/>
      <c r="BR1048" s="50"/>
      <c r="BS1048" s="111"/>
      <c r="BT1048" s="50"/>
      <c r="BU1048" s="50"/>
      <c r="BV1048" s="50"/>
      <c r="BW1048" s="50"/>
      <c r="BX1048" s="50"/>
      <c r="BY1048" s="50"/>
      <c r="BZ1048" s="50"/>
      <c r="CA1048" s="50"/>
      <c r="CB1048" s="50"/>
      <c r="CC1048" s="50"/>
      <c r="CD1048" s="50"/>
      <c r="CE1048" s="50"/>
      <c r="CF1048" s="50"/>
      <c r="CG1048" s="50"/>
      <c r="CH1048" s="50"/>
      <c r="CI1048" s="50"/>
      <c r="CJ1048" s="50"/>
      <c r="CK1048" s="50"/>
      <c r="CL1048" s="50"/>
      <c r="CM1048" s="50"/>
      <c r="CN1048" s="50"/>
      <c r="CO1048" s="50"/>
      <c r="CP1048" s="50"/>
      <c r="CQ1048" s="50"/>
      <c r="CR1048" s="50"/>
      <c r="CS1048" s="50"/>
    </row>
    <row r="1049" spans="1:97" ht="15" thickBot="1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111"/>
      <c r="O1049" s="111"/>
      <c r="P1049" s="111"/>
      <c r="Q1049" s="111"/>
      <c r="R1049" s="111"/>
      <c r="S1049" s="111"/>
      <c r="T1049" s="111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1"/>
      <c r="AF1049" s="111"/>
      <c r="AG1049" s="111"/>
      <c r="AH1049" s="111"/>
      <c r="AI1049" s="111"/>
      <c r="AJ1049" s="111"/>
      <c r="AK1049" s="111"/>
      <c r="AL1049" s="111"/>
      <c r="AM1049" s="111"/>
      <c r="AN1049" s="111"/>
      <c r="AO1049" s="111"/>
      <c r="AP1049" s="111"/>
      <c r="AQ1049" s="111"/>
      <c r="AR1049" s="111"/>
      <c r="AS1049" s="111"/>
      <c r="AT1049" s="111"/>
      <c r="AU1049" s="111"/>
      <c r="AV1049" s="50"/>
      <c r="AW1049" s="50"/>
      <c r="AX1049" s="50"/>
      <c r="AY1049" s="50"/>
      <c r="AZ1049" s="50"/>
      <c r="BA1049" s="50"/>
      <c r="BB1049" s="50"/>
      <c r="BC1049" s="50"/>
      <c r="BD1049" s="50"/>
      <c r="BE1049" s="50"/>
      <c r="BF1049" s="50"/>
      <c r="BG1049" s="50"/>
      <c r="BH1049" s="50"/>
      <c r="BI1049" s="50"/>
      <c r="BJ1049" s="50"/>
      <c r="BK1049" s="50"/>
      <c r="BL1049" s="50"/>
      <c r="BM1049" s="50"/>
      <c r="BN1049" s="50"/>
      <c r="BO1049" s="50"/>
      <c r="BP1049" s="50"/>
      <c r="BQ1049" s="50"/>
      <c r="BR1049" s="50"/>
      <c r="BS1049" s="111"/>
      <c r="BT1049" s="50"/>
      <c r="BU1049" s="50"/>
      <c r="BV1049" s="50"/>
      <c r="BW1049" s="50"/>
      <c r="BX1049" s="50"/>
      <c r="BY1049" s="50"/>
      <c r="BZ1049" s="50"/>
      <c r="CA1049" s="50"/>
      <c r="CB1049" s="50"/>
      <c r="CC1049" s="50"/>
      <c r="CD1049" s="50"/>
      <c r="CE1049" s="50"/>
      <c r="CF1049" s="50"/>
      <c r="CG1049" s="50"/>
      <c r="CH1049" s="50"/>
      <c r="CI1049" s="50"/>
      <c r="CJ1049" s="50"/>
      <c r="CK1049" s="50"/>
      <c r="CL1049" s="50"/>
      <c r="CM1049" s="50"/>
      <c r="CN1049" s="50"/>
      <c r="CO1049" s="50"/>
      <c r="CP1049" s="50"/>
      <c r="CQ1049" s="50"/>
      <c r="CR1049" s="50"/>
      <c r="CS1049" s="50"/>
    </row>
    <row r="1050" spans="1:97" ht="15" thickBot="1">
      <c r="A1050" s="49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111"/>
      <c r="O1050" s="111"/>
      <c r="P1050" s="111"/>
      <c r="Q1050" s="111"/>
      <c r="R1050" s="111"/>
      <c r="S1050" s="111"/>
      <c r="T1050" s="111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1"/>
      <c r="AF1050" s="111"/>
      <c r="AG1050" s="111"/>
      <c r="AH1050" s="111"/>
      <c r="AI1050" s="111"/>
      <c r="AJ1050" s="111"/>
      <c r="AK1050" s="111"/>
      <c r="AL1050" s="111"/>
      <c r="AM1050" s="111"/>
      <c r="AN1050" s="111"/>
      <c r="AO1050" s="111"/>
      <c r="AP1050" s="111"/>
      <c r="AQ1050" s="111"/>
      <c r="AR1050" s="111"/>
      <c r="AS1050" s="111"/>
      <c r="AT1050" s="111"/>
      <c r="AU1050" s="111"/>
      <c r="AV1050" s="50"/>
      <c r="AW1050" s="50"/>
      <c r="AX1050" s="50"/>
      <c r="AY1050" s="50"/>
      <c r="AZ1050" s="50"/>
      <c r="BA1050" s="50"/>
      <c r="BB1050" s="50"/>
      <c r="BC1050" s="50"/>
      <c r="BD1050" s="50"/>
      <c r="BE1050" s="50"/>
      <c r="BF1050" s="50"/>
      <c r="BG1050" s="50"/>
      <c r="BH1050" s="50"/>
      <c r="BI1050" s="50"/>
      <c r="BJ1050" s="50"/>
      <c r="BK1050" s="50"/>
      <c r="BL1050" s="50"/>
      <c r="BM1050" s="50"/>
      <c r="BN1050" s="50"/>
      <c r="BO1050" s="50"/>
      <c r="BP1050" s="50"/>
      <c r="BQ1050" s="50"/>
      <c r="BR1050" s="50"/>
      <c r="BS1050" s="111"/>
      <c r="BT1050" s="50"/>
      <c r="BU1050" s="50"/>
      <c r="BV1050" s="50"/>
      <c r="BW1050" s="50"/>
      <c r="BX1050" s="50"/>
      <c r="BY1050" s="50"/>
      <c r="BZ1050" s="50"/>
      <c r="CA1050" s="50"/>
      <c r="CB1050" s="50"/>
      <c r="CC1050" s="50"/>
      <c r="CD1050" s="50"/>
      <c r="CE1050" s="50"/>
      <c r="CF1050" s="50"/>
      <c r="CG1050" s="50"/>
      <c r="CH1050" s="50"/>
      <c r="CI1050" s="50"/>
      <c r="CJ1050" s="50"/>
      <c r="CK1050" s="50"/>
      <c r="CL1050" s="50"/>
      <c r="CM1050" s="50"/>
      <c r="CN1050" s="50"/>
      <c r="CO1050" s="50"/>
      <c r="CP1050" s="50"/>
      <c r="CQ1050" s="50"/>
      <c r="CR1050" s="50"/>
      <c r="CS1050" s="50"/>
    </row>
    <row r="1051" spans="1:97" ht="15" thickBot="1">
      <c r="A1051" s="49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111"/>
      <c r="O1051" s="111"/>
      <c r="P1051" s="111"/>
      <c r="Q1051" s="111"/>
      <c r="R1051" s="111"/>
      <c r="S1051" s="111"/>
      <c r="T1051" s="111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1"/>
      <c r="AF1051" s="111"/>
      <c r="AG1051" s="111"/>
      <c r="AH1051" s="111"/>
      <c r="AI1051" s="111"/>
      <c r="AJ1051" s="111"/>
      <c r="AK1051" s="111"/>
      <c r="AL1051" s="111"/>
      <c r="AM1051" s="111"/>
      <c r="AN1051" s="111"/>
      <c r="AO1051" s="111"/>
      <c r="AP1051" s="111"/>
      <c r="AQ1051" s="111"/>
      <c r="AR1051" s="111"/>
      <c r="AS1051" s="111"/>
      <c r="AT1051" s="111"/>
      <c r="AU1051" s="111"/>
      <c r="AV1051" s="50"/>
      <c r="AW1051" s="50"/>
      <c r="AX1051" s="50"/>
      <c r="AY1051" s="50"/>
      <c r="AZ1051" s="50"/>
      <c r="BA1051" s="50"/>
      <c r="BB1051" s="50"/>
      <c r="BC1051" s="50"/>
      <c r="BD1051" s="50"/>
      <c r="BE1051" s="50"/>
      <c r="BF1051" s="50"/>
      <c r="BG1051" s="50"/>
      <c r="BH1051" s="50"/>
      <c r="BI1051" s="50"/>
      <c r="BJ1051" s="50"/>
      <c r="BK1051" s="50"/>
      <c r="BL1051" s="50"/>
      <c r="BM1051" s="50"/>
      <c r="BN1051" s="50"/>
      <c r="BO1051" s="50"/>
      <c r="BP1051" s="50"/>
      <c r="BQ1051" s="50"/>
      <c r="BR1051" s="50"/>
      <c r="BS1051" s="111"/>
      <c r="BT1051" s="50"/>
      <c r="BU1051" s="50"/>
      <c r="BV1051" s="50"/>
      <c r="BW1051" s="50"/>
      <c r="BX1051" s="50"/>
      <c r="BY1051" s="50"/>
      <c r="BZ1051" s="50"/>
      <c r="CA1051" s="50"/>
      <c r="CB1051" s="50"/>
      <c r="CC1051" s="50"/>
      <c r="CD1051" s="50"/>
      <c r="CE1051" s="50"/>
      <c r="CF1051" s="50"/>
      <c r="CG1051" s="50"/>
      <c r="CH1051" s="50"/>
      <c r="CI1051" s="50"/>
      <c r="CJ1051" s="50"/>
      <c r="CK1051" s="50"/>
      <c r="CL1051" s="50"/>
      <c r="CM1051" s="50"/>
      <c r="CN1051" s="50"/>
      <c r="CO1051" s="50"/>
      <c r="CP1051" s="50"/>
      <c r="CQ1051" s="50"/>
      <c r="CR1051" s="50"/>
      <c r="CS1051" s="50"/>
    </row>
    <row r="1052" spans="1:97" ht="15" thickBot="1">
      <c r="A1052" s="49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111"/>
      <c r="O1052" s="111"/>
      <c r="P1052" s="111"/>
      <c r="Q1052" s="111"/>
      <c r="R1052" s="111"/>
      <c r="S1052" s="111"/>
      <c r="T1052" s="111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111"/>
      <c r="AJ1052" s="111"/>
      <c r="AK1052" s="111"/>
      <c r="AL1052" s="111"/>
      <c r="AM1052" s="111"/>
      <c r="AN1052" s="111"/>
      <c r="AO1052" s="111"/>
      <c r="AP1052" s="111"/>
      <c r="AQ1052" s="111"/>
      <c r="AR1052" s="111"/>
      <c r="AS1052" s="111"/>
      <c r="AT1052" s="111"/>
      <c r="AU1052" s="111"/>
      <c r="AV1052" s="50"/>
      <c r="AW1052" s="50"/>
      <c r="AX1052" s="50"/>
      <c r="AY1052" s="50"/>
      <c r="AZ1052" s="50"/>
      <c r="BA1052" s="50"/>
      <c r="BB1052" s="50"/>
      <c r="BC1052" s="50"/>
      <c r="BD1052" s="50"/>
      <c r="BE1052" s="50"/>
      <c r="BF1052" s="50"/>
      <c r="BG1052" s="50"/>
      <c r="BH1052" s="50"/>
      <c r="BI1052" s="50"/>
      <c r="BJ1052" s="50"/>
      <c r="BK1052" s="50"/>
      <c r="BL1052" s="50"/>
      <c r="BM1052" s="50"/>
      <c r="BN1052" s="50"/>
      <c r="BO1052" s="50"/>
      <c r="BP1052" s="50"/>
      <c r="BQ1052" s="50"/>
      <c r="BR1052" s="50"/>
      <c r="BS1052" s="111"/>
      <c r="BT1052" s="50"/>
      <c r="BU1052" s="50"/>
      <c r="BV1052" s="50"/>
      <c r="BW1052" s="50"/>
      <c r="BX1052" s="50"/>
      <c r="BY1052" s="50"/>
      <c r="BZ1052" s="50"/>
      <c r="CA1052" s="50"/>
      <c r="CB1052" s="50"/>
      <c r="CC1052" s="50"/>
      <c r="CD1052" s="50"/>
      <c r="CE1052" s="50"/>
      <c r="CF1052" s="50"/>
      <c r="CG1052" s="50"/>
      <c r="CH1052" s="50"/>
      <c r="CI1052" s="50"/>
      <c r="CJ1052" s="50"/>
      <c r="CK1052" s="50"/>
      <c r="CL1052" s="50"/>
      <c r="CM1052" s="50"/>
      <c r="CN1052" s="50"/>
      <c r="CO1052" s="50"/>
      <c r="CP1052" s="50"/>
      <c r="CQ1052" s="50"/>
      <c r="CR1052" s="50"/>
      <c r="CS1052" s="50"/>
    </row>
    <row r="1053" spans="1:97" ht="15" thickBot="1">
      <c r="A1053" s="49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111"/>
      <c r="O1053" s="111"/>
      <c r="P1053" s="111"/>
      <c r="Q1053" s="111"/>
      <c r="R1053" s="111"/>
      <c r="S1053" s="111"/>
      <c r="T1053" s="111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1"/>
      <c r="AF1053" s="111"/>
      <c r="AG1053" s="111"/>
      <c r="AH1053" s="111"/>
      <c r="AI1053" s="111"/>
      <c r="AJ1053" s="111"/>
      <c r="AK1053" s="111"/>
      <c r="AL1053" s="111"/>
      <c r="AM1053" s="111"/>
      <c r="AN1053" s="111"/>
      <c r="AO1053" s="111"/>
      <c r="AP1053" s="111"/>
      <c r="AQ1053" s="111"/>
      <c r="AR1053" s="111"/>
      <c r="AS1053" s="111"/>
      <c r="AT1053" s="111"/>
      <c r="AU1053" s="111"/>
      <c r="AV1053" s="50"/>
      <c r="AW1053" s="50"/>
      <c r="AX1053" s="50"/>
      <c r="AY1053" s="50"/>
      <c r="AZ1053" s="50"/>
      <c r="BA1053" s="50"/>
      <c r="BB1053" s="50"/>
      <c r="BC1053" s="50"/>
      <c r="BD1053" s="50"/>
      <c r="BE1053" s="50"/>
      <c r="BF1053" s="50"/>
      <c r="BG1053" s="50"/>
      <c r="BH1053" s="50"/>
      <c r="BI1053" s="50"/>
      <c r="BJ1053" s="50"/>
      <c r="BK1053" s="50"/>
      <c r="BL1053" s="50"/>
      <c r="BM1053" s="50"/>
      <c r="BN1053" s="50"/>
      <c r="BO1053" s="50"/>
      <c r="BP1053" s="50"/>
      <c r="BQ1053" s="50"/>
      <c r="BR1053" s="50"/>
      <c r="BS1053" s="111"/>
      <c r="BT1053" s="50"/>
      <c r="BU1053" s="50"/>
      <c r="BV1053" s="50"/>
      <c r="BW1053" s="50"/>
      <c r="BX1053" s="50"/>
      <c r="BY1053" s="50"/>
      <c r="BZ1053" s="50"/>
      <c r="CA1053" s="50"/>
      <c r="CB1053" s="50"/>
      <c r="CC1053" s="50"/>
      <c r="CD1053" s="50"/>
      <c r="CE1053" s="50"/>
      <c r="CF1053" s="50"/>
      <c r="CG1053" s="50"/>
      <c r="CH1053" s="50"/>
      <c r="CI1053" s="50"/>
      <c r="CJ1053" s="50"/>
      <c r="CK1053" s="50"/>
      <c r="CL1053" s="50"/>
      <c r="CM1053" s="50"/>
      <c r="CN1053" s="50"/>
      <c r="CO1053" s="50"/>
      <c r="CP1053" s="50"/>
      <c r="CQ1053" s="50"/>
      <c r="CR1053" s="50"/>
      <c r="CS1053" s="50"/>
    </row>
    <row r="1054" spans="1:97" ht="15" thickBot="1">
      <c r="A1054" s="49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111"/>
      <c r="O1054" s="111"/>
      <c r="P1054" s="111"/>
      <c r="Q1054" s="111"/>
      <c r="R1054" s="111"/>
      <c r="S1054" s="111"/>
      <c r="T1054" s="111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111"/>
      <c r="AO1054" s="111"/>
      <c r="AP1054" s="111"/>
      <c r="AQ1054" s="111"/>
      <c r="AR1054" s="111"/>
      <c r="AS1054" s="111"/>
      <c r="AT1054" s="111"/>
      <c r="AU1054" s="111"/>
      <c r="AV1054" s="50"/>
      <c r="AW1054" s="50"/>
      <c r="AX1054" s="50"/>
      <c r="AY1054" s="50"/>
      <c r="AZ1054" s="50"/>
      <c r="BA1054" s="50"/>
      <c r="BB1054" s="50"/>
      <c r="BC1054" s="50"/>
      <c r="BD1054" s="50"/>
      <c r="BE1054" s="50"/>
      <c r="BF1054" s="50"/>
      <c r="BG1054" s="50"/>
      <c r="BH1054" s="50"/>
      <c r="BI1054" s="50"/>
      <c r="BJ1054" s="50"/>
      <c r="BK1054" s="50"/>
      <c r="BL1054" s="50"/>
      <c r="BM1054" s="50"/>
      <c r="BN1054" s="50"/>
      <c r="BO1054" s="50"/>
      <c r="BP1054" s="50"/>
      <c r="BQ1054" s="50"/>
      <c r="BR1054" s="50"/>
      <c r="BS1054" s="111"/>
      <c r="BT1054" s="50"/>
      <c r="BU1054" s="50"/>
      <c r="BV1054" s="50"/>
      <c r="BW1054" s="50"/>
      <c r="BX1054" s="50"/>
      <c r="BY1054" s="50"/>
      <c r="BZ1054" s="50"/>
      <c r="CA1054" s="50"/>
      <c r="CB1054" s="50"/>
      <c r="CC1054" s="50"/>
      <c r="CD1054" s="50"/>
      <c r="CE1054" s="50"/>
      <c r="CF1054" s="50"/>
      <c r="CG1054" s="50"/>
      <c r="CH1054" s="50"/>
      <c r="CI1054" s="50"/>
      <c r="CJ1054" s="50"/>
      <c r="CK1054" s="50"/>
      <c r="CL1054" s="50"/>
      <c r="CM1054" s="50"/>
      <c r="CN1054" s="50"/>
      <c r="CO1054" s="50"/>
      <c r="CP1054" s="50"/>
      <c r="CQ1054" s="50"/>
      <c r="CR1054" s="50"/>
      <c r="CS1054" s="50"/>
    </row>
    <row r="1055" spans="1:97" ht="15" thickBot="1">
      <c r="A1055" s="49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111"/>
      <c r="O1055" s="111"/>
      <c r="P1055" s="111"/>
      <c r="Q1055" s="111"/>
      <c r="R1055" s="111"/>
      <c r="S1055" s="111"/>
      <c r="T1055" s="111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1"/>
      <c r="AF1055" s="111"/>
      <c r="AG1055" s="111"/>
      <c r="AH1055" s="111"/>
      <c r="AI1055" s="111"/>
      <c r="AJ1055" s="111"/>
      <c r="AK1055" s="111"/>
      <c r="AL1055" s="111"/>
      <c r="AM1055" s="111"/>
      <c r="AN1055" s="111"/>
      <c r="AO1055" s="111"/>
      <c r="AP1055" s="111"/>
      <c r="AQ1055" s="111"/>
      <c r="AR1055" s="111"/>
      <c r="AS1055" s="111"/>
      <c r="AT1055" s="111"/>
      <c r="AU1055" s="111"/>
      <c r="AV1055" s="50"/>
      <c r="AW1055" s="50"/>
      <c r="AX1055" s="50"/>
      <c r="AY1055" s="50"/>
      <c r="AZ1055" s="50"/>
      <c r="BA1055" s="50"/>
      <c r="BB1055" s="50"/>
      <c r="BC1055" s="50"/>
      <c r="BD1055" s="50"/>
      <c r="BE1055" s="50"/>
      <c r="BF1055" s="50"/>
      <c r="BG1055" s="50"/>
      <c r="BH1055" s="50"/>
      <c r="BI1055" s="50"/>
      <c r="BJ1055" s="50"/>
      <c r="BK1055" s="50"/>
      <c r="BL1055" s="50"/>
      <c r="BM1055" s="50"/>
      <c r="BN1055" s="50"/>
      <c r="BO1055" s="50"/>
      <c r="BP1055" s="50"/>
      <c r="BQ1055" s="50"/>
      <c r="BR1055" s="50"/>
      <c r="BS1055" s="111"/>
      <c r="BT1055" s="50"/>
      <c r="BU1055" s="50"/>
      <c r="BV1055" s="50"/>
      <c r="BW1055" s="50"/>
      <c r="BX1055" s="50"/>
      <c r="BY1055" s="50"/>
      <c r="BZ1055" s="50"/>
      <c r="CA1055" s="50"/>
      <c r="CB1055" s="50"/>
      <c r="CC1055" s="50"/>
      <c r="CD1055" s="50"/>
      <c r="CE1055" s="50"/>
      <c r="CF1055" s="50"/>
      <c r="CG1055" s="50"/>
      <c r="CH1055" s="50"/>
      <c r="CI1055" s="50"/>
      <c r="CJ1055" s="50"/>
      <c r="CK1055" s="50"/>
      <c r="CL1055" s="50"/>
      <c r="CM1055" s="50"/>
      <c r="CN1055" s="50"/>
      <c r="CO1055" s="50"/>
      <c r="CP1055" s="50"/>
      <c r="CQ1055" s="50"/>
      <c r="CR1055" s="50"/>
      <c r="CS1055" s="50"/>
    </row>
    <row r="1056" spans="1:97" ht="15" thickBot="1">
      <c r="A1056" s="49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111"/>
      <c r="O1056" s="111"/>
      <c r="P1056" s="111"/>
      <c r="Q1056" s="111"/>
      <c r="R1056" s="111"/>
      <c r="S1056" s="111"/>
      <c r="T1056" s="111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111"/>
      <c r="AJ1056" s="111"/>
      <c r="AK1056" s="111"/>
      <c r="AL1056" s="111"/>
      <c r="AM1056" s="111"/>
      <c r="AN1056" s="111"/>
      <c r="AO1056" s="111"/>
      <c r="AP1056" s="111"/>
      <c r="AQ1056" s="111"/>
      <c r="AR1056" s="111"/>
      <c r="AS1056" s="111"/>
      <c r="AT1056" s="111"/>
      <c r="AU1056" s="111"/>
      <c r="AV1056" s="50"/>
      <c r="AW1056" s="50"/>
      <c r="AX1056" s="50"/>
      <c r="AY1056" s="50"/>
      <c r="AZ1056" s="50"/>
      <c r="BA1056" s="50"/>
      <c r="BB1056" s="50"/>
      <c r="BC1056" s="50"/>
      <c r="BD1056" s="50"/>
      <c r="BE1056" s="50"/>
      <c r="BF1056" s="50"/>
      <c r="BG1056" s="50"/>
      <c r="BH1056" s="50"/>
      <c r="BI1056" s="50"/>
      <c r="BJ1056" s="50"/>
      <c r="BK1056" s="50"/>
      <c r="BL1056" s="50"/>
      <c r="BM1056" s="50"/>
      <c r="BN1056" s="50"/>
      <c r="BO1056" s="50"/>
      <c r="BP1056" s="50"/>
      <c r="BQ1056" s="50"/>
      <c r="BR1056" s="50"/>
      <c r="BS1056" s="111"/>
      <c r="BT1056" s="50"/>
      <c r="BU1056" s="50"/>
      <c r="BV1056" s="50"/>
      <c r="BW1056" s="50"/>
      <c r="BX1056" s="50"/>
      <c r="BY1056" s="50"/>
      <c r="BZ1056" s="50"/>
      <c r="CA1056" s="50"/>
      <c r="CB1056" s="50"/>
      <c r="CC1056" s="50"/>
      <c r="CD1056" s="50"/>
      <c r="CE1056" s="50"/>
      <c r="CF1056" s="50"/>
      <c r="CG1056" s="50"/>
      <c r="CH1056" s="50"/>
      <c r="CI1056" s="50"/>
      <c r="CJ1056" s="50"/>
      <c r="CK1056" s="50"/>
      <c r="CL1056" s="50"/>
      <c r="CM1056" s="50"/>
      <c r="CN1056" s="50"/>
      <c r="CO1056" s="50"/>
      <c r="CP1056" s="50"/>
      <c r="CQ1056" s="50"/>
      <c r="CR1056" s="50"/>
      <c r="CS1056" s="50"/>
    </row>
    <row r="1057" spans="1:97" ht="15" thickBot="1">
      <c r="A1057" s="49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111"/>
      <c r="O1057" s="111"/>
      <c r="P1057" s="111"/>
      <c r="Q1057" s="111"/>
      <c r="R1057" s="111"/>
      <c r="S1057" s="111"/>
      <c r="T1057" s="111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111"/>
      <c r="AO1057" s="111"/>
      <c r="AP1057" s="111"/>
      <c r="AQ1057" s="111"/>
      <c r="AR1057" s="111"/>
      <c r="AS1057" s="111"/>
      <c r="AT1057" s="111"/>
      <c r="AU1057" s="111"/>
      <c r="AV1057" s="50"/>
      <c r="AW1057" s="50"/>
      <c r="AX1057" s="50"/>
      <c r="AY1057" s="50"/>
      <c r="AZ1057" s="50"/>
      <c r="BA1057" s="50"/>
      <c r="BB1057" s="50"/>
      <c r="BC1057" s="50"/>
      <c r="BD1057" s="50"/>
      <c r="BE1057" s="50"/>
      <c r="BF1057" s="50"/>
      <c r="BG1057" s="50"/>
      <c r="BH1057" s="50"/>
      <c r="BI1057" s="50"/>
      <c r="BJ1057" s="50"/>
      <c r="BK1057" s="50"/>
      <c r="BL1057" s="50"/>
      <c r="BM1057" s="50"/>
      <c r="BN1057" s="50"/>
      <c r="BO1057" s="50"/>
      <c r="BP1057" s="50"/>
      <c r="BQ1057" s="50"/>
      <c r="BR1057" s="50"/>
      <c r="BS1057" s="111"/>
      <c r="BT1057" s="50"/>
      <c r="BU1057" s="50"/>
      <c r="BV1057" s="50"/>
      <c r="BW1057" s="50"/>
      <c r="BX1057" s="50"/>
      <c r="BY1057" s="50"/>
      <c r="BZ1057" s="50"/>
      <c r="CA1057" s="50"/>
      <c r="CB1057" s="50"/>
      <c r="CC1057" s="50"/>
      <c r="CD1057" s="50"/>
      <c r="CE1057" s="50"/>
      <c r="CF1057" s="50"/>
      <c r="CG1057" s="50"/>
      <c r="CH1057" s="50"/>
      <c r="CI1057" s="50"/>
      <c r="CJ1057" s="50"/>
      <c r="CK1057" s="50"/>
      <c r="CL1057" s="50"/>
      <c r="CM1057" s="50"/>
      <c r="CN1057" s="50"/>
      <c r="CO1057" s="50"/>
      <c r="CP1057" s="50"/>
      <c r="CQ1057" s="50"/>
      <c r="CR1057" s="50"/>
      <c r="CS1057" s="50"/>
    </row>
    <row r="1058" spans="1:97" ht="15" thickBot="1">
      <c r="A1058" s="49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111"/>
      <c r="O1058" s="111"/>
      <c r="P1058" s="111"/>
      <c r="Q1058" s="111"/>
      <c r="R1058" s="111"/>
      <c r="S1058" s="111"/>
      <c r="T1058" s="111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111"/>
      <c r="AO1058" s="111"/>
      <c r="AP1058" s="111"/>
      <c r="AQ1058" s="111"/>
      <c r="AR1058" s="111"/>
      <c r="AS1058" s="111"/>
      <c r="AT1058" s="111"/>
      <c r="AU1058" s="111"/>
      <c r="AV1058" s="50"/>
      <c r="AW1058" s="50"/>
      <c r="AX1058" s="50"/>
      <c r="AY1058" s="50"/>
      <c r="AZ1058" s="50"/>
      <c r="BA1058" s="50"/>
      <c r="BB1058" s="50"/>
      <c r="BC1058" s="50"/>
      <c r="BD1058" s="50"/>
      <c r="BE1058" s="50"/>
      <c r="BF1058" s="50"/>
      <c r="BG1058" s="50"/>
      <c r="BH1058" s="50"/>
      <c r="BI1058" s="50"/>
      <c r="BJ1058" s="50"/>
      <c r="BK1058" s="50"/>
      <c r="BL1058" s="50"/>
      <c r="BM1058" s="50"/>
      <c r="BN1058" s="50"/>
      <c r="BO1058" s="50"/>
      <c r="BP1058" s="50"/>
      <c r="BQ1058" s="50"/>
      <c r="BR1058" s="50"/>
      <c r="BS1058" s="111"/>
      <c r="BT1058" s="50"/>
      <c r="BU1058" s="50"/>
      <c r="BV1058" s="50"/>
      <c r="BW1058" s="50"/>
      <c r="BX1058" s="50"/>
      <c r="BY1058" s="50"/>
      <c r="BZ1058" s="50"/>
      <c r="CA1058" s="50"/>
      <c r="CB1058" s="50"/>
      <c r="CC1058" s="50"/>
      <c r="CD1058" s="50"/>
      <c r="CE1058" s="50"/>
      <c r="CF1058" s="50"/>
      <c r="CG1058" s="50"/>
      <c r="CH1058" s="50"/>
      <c r="CI1058" s="50"/>
      <c r="CJ1058" s="50"/>
      <c r="CK1058" s="50"/>
      <c r="CL1058" s="50"/>
      <c r="CM1058" s="50"/>
      <c r="CN1058" s="50"/>
      <c r="CO1058" s="50"/>
      <c r="CP1058" s="50"/>
      <c r="CQ1058" s="50"/>
      <c r="CR1058" s="50"/>
      <c r="CS1058" s="50"/>
    </row>
    <row r="1059" spans="1:97" ht="15" thickBot="1">
      <c r="A1059" s="49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111"/>
      <c r="O1059" s="111"/>
      <c r="P1059" s="111"/>
      <c r="Q1059" s="111"/>
      <c r="R1059" s="111"/>
      <c r="S1059" s="111"/>
      <c r="T1059" s="111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1"/>
      <c r="AF1059" s="111"/>
      <c r="AG1059" s="111"/>
      <c r="AH1059" s="111"/>
      <c r="AI1059" s="111"/>
      <c r="AJ1059" s="111"/>
      <c r="AK1059" s="111"/>
      <c r="AL1059" s="111"/>
      <c r="AM1059" s="111"/>
      <c r="AN1059" s="111"/>
      <c r="AO1059" s="111"/>
      <c r="AP1059" s="111"/>
      <c r="AQ1059" s="111"/>
      <c r="AR1059" s="111"/>
      <c r="AS1059" s="111"/>
      <c r="AT1059" s="111"/>
      <c r="AU1059" s="111"/>
      <c r="AV1059" s="50"/>
      <c r="AW1059" s="50"/>
      <c r="AX1059" s="50"/>
      <c r="AY1059" s="50"/>
      <c r="AZ1059" s="50"/>
      <c r="BA1059" s="50"/>
      <c r="BB1059" s="50"/>
      <c r="BC1059" s="50"/>
      <c r="BD1059" s="50"/>
      <c r="BE1059" s="50"/>
      <c r="BF1059" s="50"/>
      <c r="BG1059" s="50"/>
      <c r="BH1059" s="50"/>
      <c r="BI1059" s="50"/>
      <c r="BJ1059" s="50"/>
      <c r="BK1059" s="50"/>
      <c r="BL1059" s="50"/>
      <c r="BM1059" s="50"/>
      <c r="BN1059" s="50"/>
      <c r="BO1059" s="50"/>
      <c r="BP1059" s="50"/>
      <c r="BQ1059" s="50"/>
      <c r="BR1059" s="50"/>
      <c r="BS1059" s="111"/>
      <c r="BT1059" s="50"/>
      <c r="BU1059" s="50"/>
      <c r="BV1059" s="50"/>
      <c r="BW1059" s="50"/>
      <c r="BX1059" s="50"/>
      <c r="BY1059" s="50"/>
      <c r="BZ1059" s="50"/>
      <c r="CA1059" s="50"/>
      <c r="CB1059" s="50"/>
      <c r="CC1059" s="50"/>
      <c r="CD1059" s="50"/>
      <c r="CE1059" s="50"/>
      <c r="CF1059" s="50"/>
      <c r="CG1059" s="50"/>
      <c r="CH1059" s="50"/>
      <c r="CI1059" s="50"/>
      <c r="CJ1059" s="50"/>
      <c r="CK1059" s="50"/>
      <c r="CL1059" s="50"/>
      <c r="CM1059" s="50"/>
      <c r="CN1059" s="50"/>
      <c r="CO1059" s="50"/>
      <c r="CP1059" s="50"/>
      <c r="CQ1059" s="50"/>
      <c r="CR1059" s="50"/>
      <c r="CS1059" s="50"/>
    </row>
    <row r="1060" spans="1:97" ht="15" thickBot="1">
      <c r="A1060" s="49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111"/>
      <c r="O1060" s="111"/>
      <c r="P1060" s="111"/>
      <c r="Q1060" s="111"/>
      <c r="R1060" s="111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111"/>
      <c r="AO1060" s="111"/>
      <c r="AP1060" s="111"/>
      <c r="AQ1060" s="111"/>
      <c r="AR1060" s="111"/>
      <c r="AS1060" s="111"/>
      <c r="AT1060" s="111"/>
      <c r="AU1060" s="111"/>
      <c r="AV1060" s="50"/>
      <c r="AW1060" s="50"/>
      <c r="AX1060" s="50"/>
      <c r="AY1060" s="50"/>
      <c r="AZ1060" s="50"/>
      <c r="BA1060" s="50"/>
      <c r="BB1060" s="50"/>
      <c r="BC1060" s="50"/>
      <c r="BD1060" s="50"/>
      <c r="BE1060" s="50"/>
      <c r="BF1060" s="50"/>
      <c r="BG1060" s="50"/>
      <c r="BH1060" s="50"/>
      <c r="BI1060" s="50"/>
      <c r="BJ1060" s="50"/>
      <c r="BK1060" s="50"/>
      <c r="BL1060" s="50"/>
      <c r="BM1060" s="50"/>
      <c r="BN1060" s="50"/>
      <c r="BO1060" s="50"/>
      <c r="BP1060" s="50"/>
      <c r="BQ1060" s="50"/>
      <c r="BR1060" s="50"/>
      <c r="BS1060" s="111"/>
      <c r="BT1060" s="50"/>
      <c r="BU1060" s="50"/>
      <c r="BV1060" s="50"/>
      <c r="BW1060" s="50"/>
      <c r="BX1060" s="50"/>
      <c r="BY1060" s="50"/>
      <c r="BZ1060" s="50"/>
      <c r="CA1060" s="50"/>
      <c r="CB1060" s="50"/>
      <c r="CC1060" s="50"/>
      <c r="CD1060" s="50"/>
      <c r="CE1060" s="50"/>
      <c r="CF1060" s="50"/>
      <c r="CG1060" s="50"/>
      <c r="CH1060" s="50"/>
      <c r="CI1060" s="50"/>
      <c r="CJ1060" s="50"/>
      <c r="CK1060" s="50"/>
      <c r="CL1060" s="50"/>
      <c r="CM1060" s="50"/>
      <c r="CN1060" s="50"/>
      <c r="CO1060" s="50"/>
      <c r="CP1060" s="50"/>
      <c r="CQ1060" s="50"/>
      <c r="CR1060" s="50"/>
      <c r="CS1060" s="50"/>
    </row>
    <row r="1061" spans="1:97" ht="15" thickBot="1">
      <c r="A1061" s="49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111"/>
      <c r="O1061" s="111"/>
      <c r="P1061" s="111"/>
      <c r="Q1061" s="111"/>
      <c r="R1061" s="111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111"/>
      <c r="AO1061" s="111"/>
      <c r="AP1061" s="111"/>
      <c r="AQ1061" s="111"/>
      <c r="AR1061" s="111"/>
      <c r="AS1061" s="111"/>
      <c r="AT1061" s="111"/>
      <c r="AU1061" s="111"/>
      <c r="AV1061" s="50"/>
      <c r="AW1061" s="50"/>
      <c r="AX1061" s="50"/>
      <c r="AY1061" s="50"/>
      <c r="AZ1061" s="50"/>
      <c r="BA1061" s="50"/>
      <c r="BB1061" s="50"/>
      <c r="BC1061" s="50"/>
      <c r="BD1061" s="50"/>
      <c r="BE1061" s="50"/>
      <c r="BF1061" s="50"/>
      <c r="BG1061" s="50"/>
      <c r="BH1061" s="50"/>
      <c r="BI1061" s="50"/>
      <c r="BJ1061" s="50"/>
      <c r="BK1061" s="50"/>
      <c r="BL1061" s="50"/>
      <c r="BM1061" s="50"/>
      <c r="BN1061" s="50"/>
      <c r="BO1061" s="50"/>
      <c r="BP1061" s="50"/>
      <c r="BQ1061" s="50"/>
      <c r="BR1061" s="50"/>
      <c r="BS1061" s="111"/>
      <c r="BT1061" s="50"/>
      <c r="BU1061" s="50"/>
      <c r="BV1061" s="50"/>
      <c r="BW1061" s="50"/>
      <c r="BX1061" s="50"/>
      <c r="BY1061" s="50"/>
      <c r="BZ1061" s="50"/>
      <c r="CA1061" s="50"/>
      <c r="CB1061" s="50"/>
      <c r="CC1061" s="50"/>
      <c r="CD1061" s="50"/>
      <c r="CE1061" s="50"/>
      <c r="CF1061" s="50"/>
      <c r="CG1061" s="50"/>
      <c r="CH1061" s="50"/>
      <c r="CI1061" s="50"/>
      <c r="CJ1061" s="50"/>
      <c r="CK1061" s="50"/>
      <c r="CL1061" s="50"/>
      <c r="CM1061" s="50"/>
      <c r="CN1061" s="50"/>
      <c r="CO1061" s="50"/>
      <c r="CP1061" s="50"/>
      <c r="CQ1061" s="50"/>
      <c r="CR1061" s="50"/>
      <c r="CS1061" s="50"/>
    </row>
    <row r="1062" spans="1:97" ht="15" thickBot="1">
      <c r="A1062" s="49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111"/>
      <c r="O1062" s="111"/>
      <c r="P1062" s="111"/>
      <c r="Q1062" s="111"/>
      <c r="R1062" s="111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111"/>
      <c r="AO1062" s="111"/>
      <c r="AP1062" s="111"/>
      <c r="AQ1062" s="111"/>
      <c r="AR1062" s="111"/>
      <c r="AS1062" s="111"/>
      <c r="AT1062" s="111"/>
      <c r="AU1062" s="111"/>
      <c r="AV1062" s="50"/>
      <c r="AW1062" s="50"/>
      <c r="AX1062" s="50"/>
      <c r="AY1062" s="50"/>
      <c r="AZ1062" s="50"/>
      <c r="BA1062" s="50"/>
      <c r="BB1062" s="50"/>
      <c r="BC1062" s="50"/>
      <c r="BD1062" s="50"/>
      <c r="BE1062" s="50"/>
      <c r="BF1062" s="50"/>
      <c r="BG1062" s="50"/>
      <c r="BH1062" s="50"/>
      <c r="BI1062" s="50"/>
      <c r="BJ1062" s="50"/>
      <c r="BK1062" s="50"/>
      <c r="BL1062" s="50"/>
      <c r="BM1062" s="50"/>
      <c r="BN1062" s="50"/>
      <c r="BO1062" s="50"/>
      <c r="BP1062" s="50"/>
      <c r="BQ1062" s="50"/>
      <c r="BR1062" s="50"/>
      <c r="BS1062" s="111"/>
      <c r="BT1062" s="50"/>
      <c r="BU1062" s="50"/>
      <c r="BV1062" s="50"/>
      <c r="BW1062" s="50"/>
      <c r="BX1062" s="50"/>
      <c r="BY1062" s="50"/>
      <c r="BZ1062" s="50"/>
      <c r="CA1062" s="50"/>
      <c r="CB1062" s="50"/>
      <c r="CC1062" s="50"/>
      <c r="CD1062" s="50"/>
      <c r="CE1062" s="50"/>
      <c r="CF1062" s="50"/>
      <c r="CG1062" s="50"/>
      <c r="CH1062" s="50"/>
      <c r="CI1062" s="50"/>
      <c r="CJ1062" s="50"/>
      <c r="CK1062" s="50"/>
      <c r="CL1062" s="50"/>
      <c r="CM1062" s="50"/>
      <c r="CN1062" s="50"/>
      <c r="CO1062" s="50"/>
      <c r="CP1062" s="50"/>
      <c r="CQ1062" s="50"/>
      <c r="CR1062" s="50"/>
      <c r="CS1062" s="50"/>
    </row>
    <row r="1063" spans="1:97" ht="15" thickBot="1">
      <c r="A1063" s="49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111"/>
      <c r="O1063" s="111"/>
      <c r="P1063" s="111"/>
      <c r="Q1063" s="111"/>
      <c r="R1063" s="111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111"/>
      <c r="AO1063" s="111"/>
      <c r="AP1063" s="111"/>
      <c r="AQ1063" s="111"/>
      <c r="AR1063" s="111"/>
      <c r="AS1063" s="111"/>
      <c r="AT1063" s="111"/>
      <c r="AU1063" s="111"/>
      <c r="AV1063" s="50"/>
      <c r="AW1063" s="50"/>
      <c r="AX1063" s="50"/>
      <c r="AY1063" s="50"/>
      <c r="AZ1063" s="50"/>
      <c r="BA1063" s="50"/>
      <c r="BB1063" s="50"/>
      <c r="BC1063" s="50"/>
      <c r="BD1063" s="50"/>
      <c r="BE1063" s="50"/>
      <c r="BF1063" s="50"/>
      <c r="BG1063" s="50"/>
      <c r="BH1063" s="50"/>
      <c r="BI1063" s="50"/>
      <c r="BJ1063" s="50"/>
      <c r="BK1063" s="50"/>
      <c r="BL1063" s="50"/>
      <c r="BM1063" s="50"/>
      <c r="BN1063" s="50"/>
      <c r="BO1063" s="50"/>
      <c r="BP1063" s="50"/>
      <c r="BQ1063" s="50"/>
      <c r="BR1063" s="50"/>
      <c r="BS1063" s="111"/>
      <c r="BT1063" s="50"/>
      <c r="BU1063" s="50"/>
      <c r="BV1063" s="50"/>
      <c r="BW1063" s="50"/>
      <c r="BX1063" s="50"/>
      <c r="BY1063" s="50"/>
      <c r="BZ1063" s="50"/>
      <c r="CA1063" s="50"/>
      <c r="CB1063" s="50"/>
      <c r="CC1063" s="50"/>
      <c r="CD1063" s="50"/>
      <c r="CE1063" s="50"/>
      <c r="CF1063" s="50"/>
      <c r="CG1063" s="50"/>
      <c r="CH1063" s="50"/>
      <c r="CI1063" s="50"/>
      <c r="CJ1063" s="50"/>
      <c r="CK1063" s="50"/>
      <c r="CL1063" s="50"/>
      <c r="CM1063" s="50"/>
      <c r="CN1063" s="50"/>
      <c r="CO1063" s="50"/>
      <c r="CP1063" s="50"/>
      <c r="CQ1063" s="50"/>
      <c r="CR1063" s="50"/>
      <c r="CS1063" s="50"/>
    </row>
    <row r="1064" spans="1:97" ht="15" thickBot="1">
      <c r="A1064" s="49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111"/>
      <c r="O1064" s="111"/>
      <c r="P1064" s="111"/>
      <c r="Q1064" s="111"/>
      <c r="R1064" s="111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1"/>
      <c r="AF1064" s="111"/>
      <c r="AG1064" s="111"/>
      <c r="AH1064" s="111"/>
      <c r="AI1064" s="111"/>
      <c r="AJ1064" s="111"/>
      <c r="AK1064" s="111"/>
      <c r="AL1064" s="111"/>
      <c r="AM1064" s="111"/>
      <c r="AN1064" s="111"/>
      <c r="AO1064" s="111"/>
      <c r="AP1064" s="111"/>
      <c r="AQ1064" s="111"/>
      <c r="AR1064" s="111"/>
      <c r="AS1064" s="111"/>
      <c r="AT1064" s="111"/>
      <c r="AU1064" s="111"/>
      <c r="AV1064" s="50"/>
      <c r="AW1064" s="50"/>
      <c r="AX1064" s="50"/>
      <c r="AY1064" s="50"/>
      <c r="AZ1064" s="50"/>
      <c r="BA1064" s="50"/>
      <c r="BB1064" s="50"/>
      <c r="BC1064" s="50"/>
      <c r="BD1064" s="50"/>
      <c r="BE1064" s="50"/>
      <c r="BF1064" s="50"/>
      <c r="BG1064" s="50"/>
      <c r="BH1064" s="50"/>
      <c r="BI1064" s="50"/>
      <c r="BJ1064" s="50"/>
      <c r="BK1064" s="50"/>
      <c r="BL1064" s="50"/>
      <c r="BM1064" s="50"/>
      <c r="BN1064" s="50"/>
      <c r="BO1064" s="50"/>
      <c r="BP1064" s="50"/>
      <c r="BQ1064" s="50"/>
      <c r="BR1064" s="50"/>
      <c r="BS1064" s="111"/>
      <c r="BT1064" s="50"/>
      <c r="BU1064" s="50"/>
      <c r="BV1064" s="50"/>
      <c r="BW1064" s="50"/>
      <c r="BX1064" s="50"/>
      <c r="BY1064" s="50"/>
      <c r="BZ1064" s="50"/>
      <c r="CA1064" s="50"/>
      <c r="CB1064" s="50"/>
      <c r="CC1064" s="50"/>
      <c r="CD1064" s="50"/>
      <c r="CE1064" s="50"/>
      <c r="CF1064" s="50"/>
      <c r="CG1064" s="50"/>
      <c r="CH1064" s="50"/>
      <c r="CI1064" s="50"/>
      <c r="CJ1064" s="50"/>
      <c r="CK1064" s="50"/>
      <c r="CL1064" s="50"/>
      <c r="CM1064" s="50"/>
      <c r="CN1064" s="50"/>
      <c r="CO1064" s="50"/>
      <c r="CP1064" s="50"/>
      <c r="CQ1064" s="50"/>
      <c r="CR1064" s="50"/>
      <c r="CS1064" s="50"/>
    </row>
    <row r="1065" spans="1:97" ht="15" thickBot="1">
      <c r="A1065" s="49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111"/>
      <c r="O1065" s="111"/>
      <c r="P1065" s="111"/>
      <c r="Q1065" s="111"/>
      <c r="R1065" s="111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1"/>
      <c r="AF1065" s="111"/>
      <c r="AG1065" s="111"/>
      <c r="AH1065" s="111"/>
      <c r="AI1065" s="111"/>
      <c r="AJ1065" s="111"/>
      <c r="AK1065" s="111"/>
      <c r="AL1065" s="111"/>
      <c r="AM1065" s="111"/>
      <c r="AN1065" s="111"/>
      <c r="AO1065" s="111"/>
      <c r="AP1065" s="111"/>
      <c r="AQ1065" s="111"/>
      <c r="AR1065" s="111"/>
      <c r="AS1065" s="111"/>
      <c r="AT1065" s="111"/>
      <c r="AU1065" s="111"/>
      <c r="AV1065" s="50"/>
      <c r="AW1065" s="50"/>
      <c r="AX1065" s="50"/>
      <c r="AY1065" s="50"/>
      <c r="AZ1065" s="50"/>
      <c r="BA1065" s="50"/>
      <c r="BB1065" s="50"/>
      <c r="BC1065" s="50"/>
      <c r="BD1065" s="50"/>
      <c r="BE1065" s="50"/>
      <c r="BF1065" s="50"/>
      <c r="BG1065" s="50"/>
      <c r="BH1065" s="50"/>
      <c r="BI1065" s="50"/>
      <c r="BJ1065" s="50"/>
      <c r="BK1065" s="50"/>
      <c r="BL1065" s="50"/>
      <c r="BM1065" s="50"/>
      <c r="BN1065" s="50"/>
      <c r="BO1065" s="50"/>
      <c r="BP1065" s="50"/>
      <c r="BQ1065" s="50"/>
      <c r="BR1065" s="50"/>
      <c r="BS1065" s="111"/>
      <c r="BT1065" s="50"/>
      <c r="BU1065" s="50"/>
      <c r="BV1065" s="50"/>
      <c r="BW1065" s="50"/>
      <c r="BX1065" s="50"/>
      <c r="BY1065" s="50"/>
      <c r="BZ1065" s="50"/>
      <c r="CA1065" s="50"/>
      <c r="CB1065" s="50"/>
      <c r="CC1065" s="50"/>
      <c r="CD1065" s="50"/>
      <c r="CE1065" s="50"/>
      <c r="CF1065" s="50"/>
      <c r="CG1065" s="50"/>
      <c r="CH1065" s="50"/>
      <c r="CI1065" s="50"/>
      <c r="CJ1065" s="50"/>
      <c r="CK1065" s="50"/>
      <c r="CL1065" s="50"/>
      <c r="CM1065" s="50"/>
      <c r="CN1065" s="50"/>
      <c r="CO1065" s="50"/>
      <c r="CP1065" s="50"/>
      <c r="CQ1065" s="50"/>
      <c r="CR1065" s="50"/>
      <c r="CS1065" s="50"/>
    </row>
    <row r="1066" spans="1:97" ht="15" thickBot="1">
      <c r="A1066" s="49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111"/>
      <c r="O1066" s="111"/>
      <c r="P1066" s="111"/>
      <c r="Q1066" s="111"/>
      <c r="R1066" s="111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1"/>
      <c r="AF1066" s="111"/>
      <c r="AG1066" s="111"/>
      <c r="AH1066" s="111"/>
      <c r="AI1066" s="111"/>
      <c r="AJ1066" s="111"/>
      <c r="AK1066" s="111"/>
      <c r="AL1066" s="111"/>
      <c r="AM1066" s="111"/>
      <c r="AN1066" s="111"/>
      <c r="AO1066" s="111"/>
      <c r="AP1066" s="111"/>
      <c r="AQ1066" s="111"/>
      <c r="AR1066" s="111"/>
      <c r="AS1066" s="111"/>
      <c r="AT1066" s="111"/>
      <c r="AU1066" s="111"/>
      <c r="AV1066" s="50"/>
      <c r="AW1066" s="50"/>
      <c r="AX1066" s="50"/>
      <c r="AY1066" s="50"/>
      <c r="AZ1066" s="50"/>
      <c r="BA1066" s="50"/>
      <c r="BB1066" s="50"/>
      <c r="BC1066" s="50"/>
      <c r="BD1066" s="50"/>
      <c r="BE1066" s="50"/>
      <c r="BF1066" s="50"/>
      <c r="BG1066" s="50"/>
      <c r="BH1066" s="50"/>
      <c r="BI1066" s="50"/>
      <c r="BJ1066" s="50"/>
      <c r="BK1066" s="50"/>
      <c r="BL1066" s="50"/>
      <c r="BM1066" s="50"/>
      <c r="BN1066" s="50"/>
      <c r="BO1066" s="50"/>
      <c r="BP1066" s="50"/>
      <c r="BQ1066" s="50"/>
      <c r="BR1066" s="50"/>
      <c r="BS1066" s="111"/>
      <c r="BT1066" s="50"/>
      <c r="BU1066" s="50"/>
      <c r="BV1066" s="50"/>
      <c r="BW1066" s="50"/>
      <c r="BX1066" s="50"/>
      <c r="BY1066" s="50"/>
      <c r="BZ1066" s="50"/>
      <c r="CA1066" s="50"/>
      <c r="CB1066" s="50"/>
      <c r="CC1066" s="50"/>
      <c r="CD1066" s="50"/>
      <c r="CE1066" s="50"/>
      <c r="CF1066" s="50"/>
      <c r="CG1066" s="50"/>
      <c r="CH1066" s="50"/>
      <c r="CI1066" s="50"/>
      <c r="CJ1066" s="50"/>
      <c r="CK1066" s="50"/>
      <c r="CL1066" s="50"/>
      <c r="CM1066" s="50"/>
      <c r="CN1066" s="50"/>
      <c r="CO1066" s="50"/>
      <c r="CP1066" s="50"/>
      <c r="CQ1066" s="50"/>
      <c r="CR1066" s="50"/>
      <c r="CS1066" s="50"/>
    </row>
    <row r="1067" spans="1:97" ht="15" thickBot="1">
      <c r="A1067" s="49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111"/>
      <c r="O1067" s="111"/>
      <c r="P1067" s="111"/>
      <c r="Q1067" s="111"/>
      <c r="R1067" s="111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1"/>
      <c r="AF1067" s="111"/>
      <c r="AG1067" s="111"/>
      <c r="AH1067" s="111"/>
      <c r="AI1067" s="111"/>
      <c r="AJ1067" s="111"/>
      <c r="AK1067" s="111"/>
      <c r="AL1067" s="111"/>
      <c r="AM1067" s="111"/>
      <c r="AN1067" s="111"/>
      <c r="AO1067" s="111"/>
      <c r="AP1067" s="111"/>
      <c r="AQ1067" s="111"/>
      <c r="AR1067" s="111"/>
      <c r="AS1067" s="111"/>
      <c r="AT1067" s="111"/>
      <c r="AU1067" s="111"/>
      <c r="AV1067" s="50"/>
      <c r="AW1067" s="50"/>
      <c r="AX1067" s="50"/>
      <c r="AY1067" s="50"/>
      <c r="AZ1067" s="50"/>
      <c r="BA1067" s="50"/>
      <c r="BB1067" s="50"/>
      <c r="BC1067" s="50"/>
      <c r="BD1067" s="50"/>
      <c r="BE1067" s="50"/>
      <c r="BF1067" s="50"/>
      <c r="BG1067" s="50"/>
      <c r="BH1067" s="50"/>
      <c r="BI1067" s="50"/>
      <c r="BJ1067" s="50"/>
      <c r="BK1067" s="50"/>
      <c r="BL1067" s="50"/>
      <c r="BM1067" s="50"/>
      <c r="BN1067" s="50"/>
      <c r="BO1067" s="50"/>
      <c r="BP1067" s="50"/>
      <c r="BQ1067" s="50"/>
      <c r="BR1067" s="50"/>
      <c r="BS1067" s="111"/>
      <c r="BT1067" s="50"/>
      <c r="BU1067" s="50"/>
      <c r="BV1067" s="50"/>
      <c r="BW1067" s="50"/>
      <c r="BX1067" s="50"/>
      <c r="BY1067" s="50"/>
      <c r="BZ1067" s="50"/>
      <c r="CA1067" s="50"/>
      <c r="CB1067" s="50"/>
      <c r="CC1067" s="50"/>
      <c r="CD1067" s="50"/>
      <c r="CE1067" s="50"/>
      <c r="CF1067" s="50"/>
      <c r="CG1067" s="50"/>
      <c r="CH1067" s="50"/>
      <c r="CI1067" s="50"/>
      <c r="CJ1067" s="50"/>
      <c r="CK1067" s="50"/>
      <c r="CL1067" s="50"/>
      <c r="CM1067" s="50"/>
      <c r="CN1067" s="50"/>
      <c r="CO1067" s="50"/>
      <c r="CP1067" s="50"/>
      <c r="CQ1067" s="50"/>
      <c r="CR1067" s="50"/>
      <c r="CS1067" s="50"/>
    </row>
    <row r="1068" spans="1:97" ht="15" thickBot="1">
      <c r="A1068" s="49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11"/>
      <c r="AO1068" s="111"/>
      <c r="AP1068" s="111"/>
      <c r="AQ1068" s="111"/>
      <c r="AR1068" s="111"/>
      <c r="AS1068" s="111"/>
      <c r="AT1068" s="111"/>
      <c r="AU1068" s="111"/>
      <c r="AV1068" s="50"/>
      <c r="AW1068" s="50"/>
      <c r="AX1068" s="50"/>
      <c r="AY1068" s="50"/>
      <c r="AZ1068" s="50"/>
      <c r="BA1068" s="50"/>
      <c r="BB1068" s="50"/>
      <c r="BC1068" s="50"/>
      <c r="BD1068" s="50"/>
      <c r="BE1068" s="50"/>
      <c r="BF1068" s="50"/>
      <c r="BG1068" s="50"/>
      <c r="BH1068" s="50"/>
      <c r="BI1068" s="50"/>
      <c r="BJ1068" s="50"/>
      <c r="BK1068" s="50"/>
      <c r="BL1068" s="50"/>
      <c r="BM1068" s="50"/>
      <c r="BN1068" s="50"/>
      <c r="BO1068" s="50"/>
      <c r="BP1068" s="50"/>
      <c r="BQ1068" s="50"/>
      <c r="BR1068" s="50"/>
      <c r="BS1068" s="111"/>
      <c r="BT1068" s="50"/>
      <c r="BU1068" s="50"/>
      <c r="BV1068" s="50"/>
      <c r="BW1068" s="50"/>
      <c r="BX1068" s="50"/>
      <c r="BY1068" s="50"/>
      <c r="BZ1068" s="50"/>
      <c r="CA1068" s="50"/>
      <c r="CB1068" s="50"/>
      <c r="CC1068" s="50"/>
      <c r="CD1068" s="50"/>
      <c r="CE1068" s="50"/>
      <c r="CF1068" s="50"/>
      <c r="CG1068" s="50"/>
      <c r="CH1068" s="50"/>
      <c r="CI1068" s="50"/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</row>
    <row r="1069" spans="1:97" ht="15" thickBot="1">
      <c r="A1069" s="49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111"/>
      <c r="O1069" s="111"/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11"/>
      <c r="AO1069" s="111"/>
      <c r="AP1069" s="111"/>
      <c r="AQ1069" s="111"/>
      <c r="AR1069" s="111"/>
      <c r="AS1069" s="111"/>
      <c r="AT1069" s="111"/>
      <c r="AU1069" s="111"/>
      <c r="AV1069" s="50"/>
      <c r="AW1069" s="50"/>
      <c r="AX1069" s="50"/>
      <c r="AY1069" s="50"/>
      <c r="AZ1069" s="50"/>
      <c r="BA1069" s="50"/>
      <c r="BB1069" s="50"/>
      <c r="BC1069" s="50"/>
      <c r="BD1069" s="50"/>
      <c r="BE1069" s="50"/>
      <c r="BF1069" s="50"/>
      <c r="BG1069" s="50"/>
      <c r="BH1069" s="50"/>
      <c r="BI1069" s="50"/>
      <c r="BJ1069" s="50"/>
      <c r="BK1069" s="50"/>
      <c r="BL1069" s="50"/>
      <c r="BM1069" s="50"/>
      <c r="BN1069" s="50"/>
      <c r="BO1069" s="50"/>
      <c r="BP1069" s="50"/>
      <c r="BQ1069" s="50"/>
      <c r="BR1069" s="50"/>
      <c r="BS1069" s="111"/>
      <c r="BT1069" s="50"/>
      <c r="BU1069" s="50"/>
      <c r="BV1069" s="50"/>
      <c r="BW1069" s="50"/>
      <c r="BX1069" s="50"/>
      <c r="BY1069" s="50"/>
      <c r="BZ1069" s="50"/>
      <c r="CA1069" s="50"/>
      <c r="CB1069" s="50"/>
      <c r="CC1069" s="50"/>
      <c r="CD1069" s="50"/>
      <c r="CE1069" s="50"/>
      <c r="CF1069" s="50"/>
      <c r="CG1069" s="50"/>
      <c r="CH1069" s="50"/>
      <c r="CI1069" s="50"/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</row>
    <row r="1070" spans="1:97" ht="15" thickBot="1">
      <c r="A1070" s="49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111"/>
      <c r="O1070" s="111"/>
      <c r="P1070" s="111"/>
      <c r="Q1070" s="111"/>
      <c r="R1070" s="111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11"/>
      <c r="AO1070" s="111"/>
      <c r="AP1070" s="111"/>
      <c r="AQ1070" s="111"/>
      <c r="AR1070" s="111"/>
      <c r="AS1070" s="111"/>
      <c r="AT1070" s="111"/>
      <c r="AU1070" s="111"/>
      <c r="AV1070" s="50"/>
      <c r="AW1070" s="50"/>
      <c r="AX1070" s="50"/>
      <c r="AY1070" s="50"/>
      <c r="AZ1070" s="50"/>
      <c r="BA1070" s="50"/>
      <c r="BB1070" s="50"/>
      <c r="BC1070" s="50"/>
      <c r="BD1070" s="50"/>
      <c r="BE1070" s="50"/>
      <c r="BF1070" s="50"/>
      <c r="BG1070" s="50"/>
      <c r="BH1070" s="50"/>
      <c r="BI1070" s="50"/>
      <c r="BJ1070" s="50"/>
      <c r="BK1070" s="50"/>
      <c r="BL1070" s="50"/>
      <c r="BM1070" s="50"/>
      <c r="BN1070" s="50"/>
      <c r="BO1070" s="50"/>
      <c r="BP1070" s="50"/>
      <c r="BQ1070" s="50"/>
      <c r="BR1070" s="50"/>
      <c r="BS1070" s="111"/>
      <c r="BT1070" s="50"/>
      <c r="BU1070" s="50"/>
      <c r="BV1070" s="50"/>
      <c r="BW1070" s="50"/>
      <c r="BX1070" s="50"/>
      <c r="BY1070" s="50"/>
      <c r="BZ1070" s="50"/>
      <c r="CA1070" s="50"/>
      <c r="CB1070" s="50"/>
      <c r="CC1070" s="50"/>
      <c r="CD1070" s="50"/>
      <c r="CE1070" s="50"/>
      <c r="CF1070" s="50"/>
      <c r="CG1070" s="50"/>
      <c r="CH1070" s="50"/>
      <c r="CI1070" s="50"/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</row>
    <row r="1071" spans="1:97" ht="15" thickBot="1">
      <c r="A1071" s="49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111"/>
      <c r="O1071" s="111"/>
      <c r="P1071" s="111"/>
      <c r="Q1071" s="111"/>
      <c r="R1071" s="111"/>
      <c r="S1071" s="111"/>
      <c r="T1071" s="111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11"/>
      <c r="AO1071" s="111"/>
      <c r="AP1071" s="111"/>
      <c r="AQ1071" s="111"/>
      <c r="AR1071" s="111"/>
      <c r="AS1071" s="111"/>
      <c r="AT1071" s="111"/>
      <c r="AU1071" s="111"/>
      <c r="AV1071" s="50"/>
      <c r="AW1071" s="50"/>
      <c r="AX1071" s="50"/>
      <c r="AY1071" s="50"/>
      <c r="AZ1071" s="50"/>
      <c r="BA1071" s="50"/>
      <c r="BB1071" s="50"/>
      <c r="BC1071" s="50"/>
      <c r="BD1071" s="50"/>
      <c r="BE1071" s="50"/>
      <c r="BF1071" s="50"/>
      <c r="BG1071" s="50"/>
      <c r="BH1071" s="50"/>
      <c r="BI1071" s="50"/>
      <c r="BJ1071" s="50"/>
      <c r="BK1071" s="50"/>
      <c r="BL1071" s="50"/>
      <c r="BM1071" s="50"/>
      <c r="BN1071" s="50"/>
      <c r="BO1071" s="50"/>
      <c r="BP1071" s="50"/>
      <c r="BQ1071" s="50"/>
      <c r="BR1071" s="50"/>
      <c r="BS1071" s="111"/>
      <c r="BT1071" s="50"/>
      <c r="BU1071" s="50"/>
      <c r="BV1071" s="50"/>
      <c r="BW1071" s="50"/>
      <c r="BX1071" s="50"/>
      <c r="BY1071" s="50"/>
      <c r="BZ1071" s="50"/>
      <c r="CA1071" s="50"/>
      <c r="CB1071" s="50"/>
      <c r="CC1071" s="50"/>
      <c r="CD1071" s="50"/>
      <c r="CE1071" s="50"/>
      <c r="CF1071" s="50"/>
      <c r="CG1071" s="50"/>
      <c r="CH1071" s="50"/>
      <c r="CI1071" s="50"/>
      <c r="CJ1071" s="50"/>
      <c r="CK1071" s="50"/>
      <c r="CL1071" s="50"/>
      <c r="CM1071" s="50"/>
      <c r="CN1071" s="50"/>
      <c r="CO1071" s="50"/>
      <c r="CP1071" s="50"/>
      <c r="CQ1071" s="50"/>
      <c r="CR1071" s="50"/>
      <c r="CS1071" s="50"/>
    </row>
    <row r="1072" spans="1:97" ht="15" thickBot="1">
      <c r="A1072" s="49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111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11"/>
      <c r="AO1072" s="111"/>
      <c r="AP1072" s="111"/>
      <c r="AQ1072" s="111"/>
      <c r="AR1072" s="111"/>
      <c r="AS1072" s="111"/>
      <c r="AT1072" s="111"/>
      <c r="AU1072" s="111"/>
      <c r="AV1072" s="50"/>
      <c r="AW1072" s="50"/>
      <c r="AX1072" s="50"/>
      <c r="AY1072" s="50"/>
      <c r="AZ1072" s="50"/>
      <c r="BA1072" s="50"/>
      <c r="BB1072" s="50"/>
      <c r="BC1072" s="50"/>
      <c r="BD1072" s="50"/>
      <c r="BE1072" s="50"/>
      <c r="BF1072" s="50"/>
      <c r="BG1072" s="50"/>
      <c r="BH1072" s="50"/>
      <c r="BI1072" s="50"/>
      <c r="BJ1072" s="50"/>
      <c r="BK1072" s="50"/>
      <c r="BL1072" s="50"/>
      <c r="BM1072" s="50"/>
      <c r="BN1072" s="50"/>
      <c r="BO1072" s="50"/>
      <c r="BP1072" s="50"/>
      <c r="BQ1072" s="50"/>
      <c r="BR1072" s="50"/>
      <c r="BS1072" s="111"/>
      <c r="BT1072" s="50"/>
      <c r="BU1072" s="50"/>
      <c r="BV1072" s="50"/>
      <c r="BW1072" s="50"/>
      <c r="BX1072" s="50"/>
      <c r="BY1072" s="50"/>
      <c r="BZ1072" s="50"/>
      <c r="CA1072" s="50"/>
      <c r="CB1072" s="50"/>
      <c r="CC1072" s="50"/>
      <c r="CD1072" s="50"/>
      <c r="CE1072" s="50"/>
      <c r="CF1072" s="50"/>
      <c r="CG1072" s="50"/>
      <c r="CH1072" s="50"/>
      <c r="CI1072" s="50"/>
      <c r="CJ1072" s="50"/>
      <c r="CK1072" s="50"/>
      <c r="CL1072" s="50"/>
      <c r="CM1072" s="50"/>
      <c r="CN1072" s="50"/>
      <c r="CO1072" s="50"/>
      <c r="CP1072" s="50"/>
      <c r="CQ1072" s="50"/>
      <c r="CR1072" s="50"/>
      <c r="CS1072" s="50"/>
    </row>
    <row r="1073" spans="1:97" ht="15" thickBot="1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111"/>
      <c r="O1073" s="111"/>
      <c r="P1073" s="111"/>
      <c r="Q1073" s="111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11"/>
      <c r="AO1073" s="111"/>
      <c r="AP1073" s="111"/>
      <c r="AQ1073" s="111"/>
      <c r="AR1073" s="111"/>
      <c r="AS1073" s="111"/>
      <c r="AT1073" s="111"/>
      <c r="AU1073" s="111"/>
      <c r="AV1073" s="50"/>
      <c r="AW1073" s="50"/>
      <c r="AX1073" s="50"/>
      <c r="AY1073" s="50"/>
      <c r="AZ1073" s="50"/>
      <c r="BA1073" s="50"/>
      <c r="BB1073" s="50"/>
      <c r="BC1073" s="50"/>
      <c r="BD1073" s="50"/>
      <c r="BE1073" s="50"/>
      <c r="BF1073" s="50"/>
      <c r="BG1073" s="50"/>
      <c r="BH1073" s="50"/>
      <c r="BI1073" s="50"/>
      <c r="BJ1073" s="50"/>
      <c r="BK1073" s="50"/>
      <c r="BL1073" s="50"/>
      <c r="BM1073" s="50"/>
      <c r="BN1073" s="50"/>
      <c r="BO1073" s="50"/>
      <c r="BP1073" s="50"/>
      <c r="BQ1073" s="50"/>
      <c r="BR1073" s="50"/>
      <c r="BS1073" s="111"/>
      <c r="BT1073" s="50"/>
      <c r="BU1073" s="50"/>
      <c r="BV1073" s="50"/>
      <c r="BW1073" s="50"/>
      <c r="BX1073" s="50"/>
      <c r="BY1073" s="50"/>
      <c r="BZ1073" s="50"/>
      <c r="CA1073" s="50"/>
      <c r="CB1073" s="50"/>
      <c r="CC1073" s="50"/>
      <c r="CD1073" s="50"/>
      <c r="CE1073" s="50"/>
      <c r="CF1073" s="50"/>
      <c r="CG1073" s="50"/>
      <c r="CH1073" s="50"/>
      <c r="CI1073" s="50"/>
      <c r="CJ1073" s="50"/>
      <c r="CK1073" s="50"/>
      <c r="CL1073" s="50"/>
      <c r="CM1073" s="50"/>
      <c r="CN1073" s="50"/>
      <c r="CO1073" s="50"/>
      <c r="CP1073" s="50"/>
      <c r="CQ1073" s="50"/>
      <c r="CR1073" s="50"/>
      <c r="CS1073" s="50"/>
    </row>
    <row r="1074" spans="1:97" ht="15" thickBot="1">
      <c r="A1074" s="49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111"/>
      <c r="O1074" s="111"/>
      <c r="P1074" s="111"/>
      <c r="Q1074" s="111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1"/>
      <c r="AF1074" s="111"/>
      <c r="AG1074" s="111"/>
      <c r="AH1074" s="111"/>
      <c r="AI1074" s="111"/>
      <c r="AJ1074" s="111"/>
      <c r="AK1074" s="111"/>
      <c r="AL1074" s="111"/>
      <c r="AM1074" s="111"/>
      <c r="AN1074" s="111"/>
      <c r="AO1074" s="111"/>
      <c r="AP1074" s="111"/>
      <c r="AQ1074" s="111"/>
      <c r="AR1074" s="111"/>
      <c r="AS1074" s="111"/>
      <c r="AT1074" s="111"/>
      <c r="AU1074" s="111"/>
      <c r="AV1074" s="50"/>
      <c r="AW1074" s="50"/>
      <c r="AX1074" s="50"/>
      <c r="AY1074" s="50"/>
      <c r="AZ1074" s="50"/>
      <c r="BA1074" s="50"/>
      <c r="BB1074" s="50"/>
      <c r="BC1074" s="50"/>
      <c r="BD1074" s="50"/>
      <c r="BE1074" s="50"/>
      <c r="BF1074" s="50"/>
      <c r="BG1074" s="50"/>
      <c r="BH1074" s="50"/>
      <c r="BI1074" s="50"/>
      <c r="BJ1074" s="50"/>
      <c r="BK1074" s="50"/>
      <c r="BL1074" s="50"/>
      <c r="BM1074" s="50"/>
      <c r="BN1074" s="50"/>
      <c r="BO1074" s="50"/>
      <c r="BP1074" s="50"/>
      <c r="BQ1074" s="50"/>
      <c r="BR1074" s="50"/>
      <c r="BS1074" s="111"/>
      <c r="BT1074" s="50"/>
      <c r="BU1074" s="50"/>
      <c r="BV1074" s="50"/>
      <c r="BW1074" s="50"/>
      <c r="BX1074" s="50"/>
      <c r="BY1074" s="50"/>
      <c r="BZ1074" s="50"/>
      <c r="CA1074" s="50"/>
      <c r="CB1074" s="50"/>
      <c r="CC1074" s="50"/>
      <c r="CD1074" s="50"/>
      <c r="CE1074" s="50"/>
      <c r="CF1074" s="50"/>
      <c r="CG1074" s="50"/>
      <c r="CH1074" s="50"/>
      <c r="CI1074" s="50"/>
      <c r="CJ1074" s="50"/>
      <c r="CK1074" s="50"/>
      <c r="CL1074" s="50"/>
      <c r="CM1074" s="50"/>
      <c r="CN1074" s="50"/>
      <c r="CO1074" s="50"/>
      <c r="CP1074" s="50"/>
      <c r="CQ1074" s="50"/>
      <c r="CR1074" s="50"/>
      <c r="CS1074" s="50"/>
    </row>
    <row r="1075" spans="1:97" ht="15" thickBot="1">
      <c r="A1075" s="49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111"/>
      <c r="O1075" s="111"/>
      <c r="P1075" s="111"/>
      <c r="Q1075" s="111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1"/>
      <c r="AF1075" s="111"/>
      <c r="AG1075" s="111"/>
      <c r="AH1075" s="111"/>
      <c r="AI1075" s="111"/>
      <c r="AJ1075" s="111"/>
      <c r="AK1075" s="111"/>
      <c r="AL1075" s="111"/>
      <c r="AM1075" s="111"/>
      <c r="AN1075" s="111"/>
      <c r="AO1075" s="111"/>
      <c r="AP1075" s="111"/>
      <c r="AQ1075" s="111"/>
      <c r="AR1075" s="111"/>
      <c r="AS1075" s="111"/>
      <c r="AT1075" s="111"/>
      <c r="AU1075" s="111"/>
      <c r="AV1075" s="50"/>
      <c r="AW1075" s="50"/>
      <c r="AX1075" s="50"/>
      <c r="AY1075" s="50"/>
      <c r="AZ1075" s="50"/>
      <c r="BA1075" s="50"/>
      <c r="BB1075" s="50"/>
      <c r="BC1075" s="50"/>
      <c r="BD1075" s="50"/>
      <c r="BE1075" s="50"/>
      <c r="BF1075" s="50"/>
      <c r="BG1075" s="50"/>
      <c r="BH1075" s="50"/>
      <c r="BI1075" s="50"/>
      <c r="BJ1075" s="50"/>
      <c r="BK1075" s="50"/>
      <c r="BL1075" s="50"/>
      <c r="BM1075" s="50"/>
      <c r="BN1075" s="50"/>
      <c r="BO1075" s="50"/>
      <c r="BP1075" s="50"/>
      <c r="BQ1075" s="50"/>
      <c r="BR1075" s="50"/>
      <c r="BS1075" s="111"/>
      <c r="BT1075" s="50"/>
      <c r="BU1075" s="50"/>
      <c r="BV1075" s="50"/>
      <c r="BW1075" s="50"/>
      <c r="BX1075" s="50"/>
      <c r="BY1075" s="50"/>
      <c r="BZ1075" s="50"/>
      <c r="CA1075" s="50"/>
      <c r="CB1075" s="50"/>
      <c r="CC1075" s="50"/>
      <c r="CD1075" s="50"/>
      <c r="CE1075" s="50"/>
      <c r="CF1075" s="50"/>
      <c r="CG1075" s="50"/>
      <c r="CH1075" s="50"/>
      <c r="CI1075" s="50"/>
      <c r="CJ1075" s="50"/>
      <c r="CK1075" s="50"/>
      <c r="CL1075" s="50"/>
      <c r="CM1075" s="50"/>
      <c r="CN1075" s="50"/>
      <c r="CO1075" s="50"/>
      <c r="CP1075" s="50"/>
      <c r="CQ1075" s="50"/>
      <c r="CR1075" s="50"/>
      <c r="CS1075" s="50"/>
    </row>
    <row r="1076" spans="1:97" ht="15" thickBot="1">
      <c r="A1076" s="49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111"/>
      <c r="O1076" s="111"/>
      <c r="P1076" s="111"/>
      <c r="Q1076" s="111"/>
      <c r="R1076" s="111"/>
      <c r="S1076" s="111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1"/>
      <c r="AF1076" s="111"/>
      <c r="AG1076" s="111"/>
      <c r="AH1076" s="111"/>
      <c r="AI1076" s="111"/>
      <c r="AJ1076" s="111"/>
      <c r="AK1076" s="111"/>
      <c r="AL1076" s="111"/>
      <c r="AM1076" s="111"/>
      <c r="AN1076" s="111"/>
      <c r="AO1076" s="111"/>
      <c r="AP1076" s="111"/>
      <c r="AQ1076" s="111"/>
      <c r="AR1076" s="111"/>
      <c r="AS1076" s="111"/>
      <c r="AT1076" s="111"/>
      <c r="AU1076" s="111"/>
      <c r="AV1076" s="50"/>
      <c r="AW1076" s="50"/>
      <c r="AX1076" s="50"/>
      <c r="AY1076" s="50"/>
      <c r="AZ1076" s="50"/>
      <c r="BA1076" s="50"/>
      <c r="BB1076" s="50"/>
      <c r="BC1076" s="50"/>
      <c r="BD1076" s="50"/>
      <c r="BE1076" s="50"/>
      <c r="BF1076" s="50"/>
      <c r="BG1076" s="50"/>
      <c r="BH1076" s="50"/>
      <c r="BI1076" s="50"/>
      <c r="BJ1076" s="50"/>
      <c r="BK1076" s="50"/>
      <c r="BL1076" s="50"/>
      <c r="BM1076" s="50"/>
      <c r="BN1076" s="50"/>
      <c r="BO1076" s="50"/>
      <c r="BP1076" s="50"/>
      <c r="BQ1076" s="50"/>
      <c r="BR1076" s="50"/>
      <c r="BS1076" s="111"/>
      <c r="BT1076" s="50"/>
      <c r="BU1076" s="50"/>
      <c r="BV1076" s="50"/>
      <c r="BW1076" s="50"/>
      <c r="BX1076" s="50"/>
      <c r="BY1076" s="50"/>
      <c r="BZ1076" s="50"/>
      <c r="CA1076" s="50"/>
      <c r="CB1076" s="50"/>
      <c r="CC1076" s="50"/>
      <c r="CD1076" s="50"/>
      <c r="CE1076" s="50"/>
      <c r="CF1076" s="50"/>
      <c r="CG1076" s="50"/>
      <c r="CH1076" s="50"/>
      <c r="CI1076" s="50"/>
      <c r="CJ1076" s="50"/>
      <c r="CK1076" s="50"/>
      <c r="CL1076" s="50"/>
      <c r="CM1076" s="50"/>
      <c r="CN1076" s="50"/>
      <c r="CO1076" s="50"/>
      <c r="CP1076" s="50"/>
      <c r="CQ1076" s="50"/>
      <c r="CR1076" s="50"/>
      <c r="CS1076" s="50"/>
    </row>
    <row r="1077" spans="1:97" ht="15" thickBot="1">
      <c r="A1077" s="49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111"/>
      <c r="O1077" s="111"/>
      <c r="P1077" s="111"/>
      <c r="Q1077" s="111"/>
      <c r="R1077" s="111"/>
      <c r="S1077" s="111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1"/>
      <c r="AF1077" s="111"/>
      <c r="AG1077" s="111"/>
      <c r="AH1077" s="111"/>
      <c r="AI1077" s="111"/>
      <c r="AJ1077" s="111"/>
      <c r="AK1077" s="111"/>
      <c r="AL1077" s="111"/>
      <c r="AM1077" s="111"/>
      <c r="AN1077" s="111"/>
      <c r="AO1077" s="111"/>
      <c r="AP1077" s="111"/>
      <c r="AQ1077" s="111"/>
      <c r="AR1077" s="111"/>
      <c r="AS1077" s="111"/>
      <c r="AT1077" s="111"/>
      <c r="AU1077" s="111"/>
      <c r="AV1077" s="50"/>
      <c r="AW1077" s="50"/>
      <c r="AX1077" s="50"/>
      <c r="AY1077" s="50"/>
      <c r="AZ1077" s="50"/>
      <c r="BA1077" s="50"/>
      <c r="BB1077" s="50"/>
      <c r="BC1077" s="50"/>
      <c r="BD1077" s="50"/>
      <c r="BE1077" s="50"/>
      <c r="BF1077" s="50"/>
      <c r="BG1077" s="50"/>
      <c r="BH1077" s="50"/>
      <c r="BI1077" s="50"/>
      <c r="BJ1077" s="50"/>
      <c r="BK1077" s="50"/>
      <c r="BL1077" s="50"/>
      <c r="BM1077" s="50"/>
      <c r="BN1077" s="50"/>
      <c r="BO1077" s="50"/>
      <c r="BP1077" s="50"/>
      <c r="BQ1077" s="50"/>
      <c r="BR1077" s="50"/>
      <c r="BS1077" s="111"/>
      <c r="BT1077" s="50"/>
      <c r="BU1077" s="50"/>
      <c r="BV1077" s="50"/>
      <c r="BW1077" s="50"/>
      <c r="BX1077" s="50"/>
      <c r="BY1077" s="50"/>
      <c r="BZ1077" s="50"/>
      <c r="CA1077" s="50"/>
      <c r="CB1077" s="50"/>
      <c r="CC1077" s="50"/>
      <c r="CD1077" s="50"/>
      <c r="CE1077" s="50"/>
      <c r="CF1077" s="50"/>
      <c r="CG1077" s="50"/>
      <c r="CH1077" s="50"/>
      <c r="CI1077" s="50"/>
      <c r="CJ1077" s="50"/>
      <c r="CK1077" s="50"/>
      <c r="CL1077" s="50"/>
      <c r="CM1077" s="50"/>
      <c r="CN1077" s="50"/>
      <c r="CO1077" s="50"/>
      <c r="CP1077" s="50"/>
      <c r="CQ1077" s="50"/>
      <c r="CR1077" s="50"/>
      <c r="CS1077" s="50"/>
    </row>
    <row r="1078" spans="1:97" ht="15" thickBot="1">
      <c r="A1078" s="49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111"/>
      <c r="O1078" s="111"/>
      <c r="P1078" s="111"/>
      <c r="Q1078" s="111"/>
      <c r="R1078" s="111"/>
      <c r="S1078" s="111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1"/>
      <c r="AF1078" s="111"/>
      <c r="AG1078" s="111"/>
      <c r="AH1078" s="111"/>
      <c r="AI1078" s="111"/>
      <c r="AJ1078" s="111"/>
      <c r="AK1078" s="111"/>
      <c r="AL1078" s="111"/>
      <c r="AM1078" s="111"/>
      <c r="AN1078" s="111"/>
      <c r="AO1078" s="111"/>
      <c r="AP1078" s="111"/>
      <c r="AQ1078" s="111"/>
      <c r="AR1078" s="111"/>
      <c r="AS1078" s="111"/>
      <c r="AT1078" s="111"/>
      <c r="AU1078" s="111"/>
      <c r="AV1078" s="50"/>
      <c r="AW1078" s="50"/>
      <c r="AX1078" s="50"/>
      <c r="AY1078" s="50"/>
      <c r="AZ1078" s="50"/>
      <c r="BA1078" s="50"/>
      <c r="BB1078" s="50"/>
      <c r="BC1078" s="50"/>
      <c r="BD1078" s="50"/>
      <c r="BE1078" s="50"/>
      <c r="BF1078" s="50"/>
      <c r="BG1078" s="50"/>
      <c r="BH1078" s="50"/>
      <c r="BI1078" s="50"/>
      <c r="BJ1078" s="50"/>
      <c r="BK1078" s="50"/>
      <c r="BL1078" s="50"/>
      <c r="BM1078" s="50"/>
      <c r="BN1078" s="50"/>
      <c r="BO1078" s="50"/>
      <c r="BP1078" s="50"/>
      <c r="BQ1078" s="50"/>
      <c r="BR1078" s="50"/>
      <c r="BS1078" s="111"/>
      <c r="BT1078" s="50"/>
      <c r="BU1078" s="50"/>
      <c r="BV1078" s="50"/>
      <c r="BW1078" s="50"/>
      <c r="BX1078" s="50"/>
      <c r="BY1078" s="50"/>
      <c r="BZ1078" s="50"/>
      <c r="CA1078" s="50"/>
      <c r="CB1078" s="50"/>
      <c r="CC1078" s="50"/>
      <c r="CD1078" s="50"/>
      <c r="CE1078" s="50"/>
      <c r="CF1078" s="50"/>
      <c r="CG1078" s="50"/>
      <c r="CH1078" s="50"/>
      <c r="CI1078" s="50"/>
      <c r="CJ1078" s="50"/>
      <c r="CK1078" s="50"/>
      <c r="CL1078" s="50"/>
      <c r="CM1078" s="50"/>
      <c r="CN1078" s="50"/>
      <c r="CO1078" s="50"/>
      <c r="CP1078" s="50"/>
      <c r="CQ1078" s="50"/>
      <c r="CR1078" s="50"/>
      <c r="CS1078" s="50"/>
    </row>
    <row r="1079" spans="1:97" ht="15" thickBot="1">
      <c r="A1079" s="49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111"/>
      <c r="O1079" s="111"/>
      <c r="P1079" s="111"/>
      <c r="Q1079" s="111"/>
      <c r="R1079" s="111"/>
      <c r="S1079" s="111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1"/>
      <c r="AF1079" s="111"/>
      <c r="AG1079" s="111"/>
      <c r="AH1079" s="111"/>
      <c r="AI1079" s="111"/>
      <c r="AJ1079" s="111"/>
      <c r="AK1079" s="111"/>
      <c r="AL1079" s="111"/>
      <c r="AM1079" s="111"/>
      <c r="AN1079" s="111"/>
      <c r="AO1079" s="111"/>
      <c r="AP1079" s="111"/>
      <c r="AQ1079" s="111"/>
      <c r="AR1079" s="111"/>
      <c r="AS1079" s="111"/>
      <c r="AT1079" s="111"/>
      <c r="AU1079" s="111"/>
      <c r="AV1079" s="50"/>
      <c r="AW1079" s="50"/>
      <c r="AX1079" s="50"/>
      <c r="AY1079" s="50"/>
      <c r="AZ1079" s="50"/>
      <c r="BA1079" s="50"/>
      <c r="BB1079" s="50"/>
      <c r="BC1079" s="50"/>
      <c r="BD1079" s="50"/>
      <c r="BE1079" s="50"/>
      <c r="BF1079" s="50"/>
      <c r="BG1079" s="50"/>
      <c r="BH1079" s="50"/>
      <c r="BI1079" s="50"/>
      <c r="BJ1079" s="50"/>
      <c r="BK1079" s="50"/>
      <c r="BL1079" s="50"/>
      <c r="BM1079" s="50"/>
      <c r="BN1079" s="50"/>
      <c r="BO1079" s="50"/>
      <c r="BP1079" s="50"/>
      <c r="BQ1079" s="50"/>
      <c r="BR1079" s="50"/>
      <c r="BS1079" s="111"/>
      <c r="BT1079" s="50"/>
      <c r="BU1079" s="50"/>
      <c r="BV1079" s="50"/>
      <c r="BW1079" s="50"/>
      <c r="BX1079" s="50"/>
      <c r="BY1079" s="50"/>
      <c r="BZ1079" s="50"/>
      <c r="CA1079" s="50"/>
      <c r="CB1079" s="50"/>
      <c r="CC1079" s="50"/>
      <c r="CD1079" s="50"/>
      <c r="CE1079" s="50"/>
      <c r="CF1079" s="50"/>
      <c r="CG1079" s="50"/>
      <c r="CH1079" s="50"/>
      <c r="CI1079" s="50"/>
      <c r="CJ1079" s="50"/>
      <c r="CK1079" s="50"/>
      <c r="CL1079" s="50"/>
      <c r="CM1079" s="50"/>
      <c r="CN1079" s="50"/>
      <c r="CO1079" s="50"/>
      <c r="CP1079" s="50"/>
      <c r="CQ1079" s="50"/>
      <c r="CR1079" s="50"/>
      <c r="CS1079" s="50"/>
    </row>
    <row r="1080" spans="1:97" ht="15" thickBot="1">
      <c r="A1080" s="49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111"/>
      <c r="O1080" s="111"/>
      <c r="P1080" s="111"/>
      <c r="Q1080" s="111"/>
      <c r="R1080" s="111"/>
      <c r="S1080" s="111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1"/>
      <c r="AF1080" s="111"/>
      <c r="AG1080" s="111"/>
      <c r="AH1080" s="111"/>
      <c r="AI1080" s="111"/>
      <c r="AJ1080" s="111"/>
      <c r="AK1080" s="111"/>
      <c r="AL1080" s="111"/>
      <c r="AM1080" s="111"/>
      <c r="AN1080" s="111"/>
      <c r="AO1080" s="111"/>
      <c r="AP1080" s="111"/>
      <c r="AQ1080" s="111"/>
      <c r="AR1080" s="111"/>
      <c r="AS1080" s="111"/>
      <c r="AT1080" s="111"/>
      <c r="AU1080" s="111"/>
      <c r="AV1080" s="50"/>
      <c r="AW1080" s="50"/>
      <c r="AX1080" s="50"/>
      <c r="AY1080" s="50"/>
      <c r="AZ1080" s="50"/>
      <c r="BA1080" s="50"/>
      <c r="BB1080" s="50"/>
      <c r="BC1080" s="50"/>
      <c r="BD1080" s="50"/>
      <c r="BE1080" s="50"/>
      <c r="BF1080" s="50"/>
      <c r="BG1080" s="50"/>
      <c r="BH1080" s="50"/>
      <c r="BI1080" s="50"/>
      <c r="BJ1080" s="50"/>
      <c r="BK1080" s="50"/>
      <c r="BL1080" s="50"/>
      <c r="BM1080" s="50"/>
      <c r="BN1080" s="50"/>
      <c r="BO1080" s="50"/>
      <c r="BP1080" s="50"/>
      <c r="BQ1080" s="50"/>
      <c r="BR1080" s="50"/>
      <c r="BS1080" s="111"/>
      <c r="BT1080" s="50"/>
      <c r="BU1080" s="50"/>
      <c r="BV1080" s="50"/>
      <c r="BW1080" s="50"/>
      <c r="BX1080" s="50"/>
      <c r="BY1080" s="50"/>
      <c r="BZ1080" s="50"/>
      <c r="CA1080" s="50"/>
      <c r="CB1080" s="50"/>
      <c r="CC1080" s="50"/>
      <c r="CD1080" s="50"/>
      <c r="CE1080" s="50"/>
      <c r="CF1080" s="50"/>
      <c r="CG1080" s="50"/>
      <c r="CH1080" s="50"/>
      <c r="CI1080" s="50"/>
      <c r="CJ1080" s="50"/>
      <c r="CK1080" s="50"/>
      <c r="CL1080" s="50"/>
      <c r="CM1080" s="50"/>
      <c r="CN1080" s="50"/>
      <c r="CO1080" s="50"/>
      <c r="CP1080" s="50"/>
      <c r="CQ1080" s="50"/>
      <c r="CR1080" s="50"/>
      <c r="CS1080" s="50"/>
    </row>
    <row r="1081" spans="1:97" ht="15" thickBot="1">
      <c r="A1081" s="49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111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1"/>
      <c r="AF1081" s="111"/>
      <c r="AG1081" s="111"/>
      <c r="AH1081" s="111"/>
      <c r="AI1081" s="111"/>
      <c r="AJ1081" s="111"/>
      <c r="AK1081" s="111"/>
      <c r="AL1081" s="111"/>
      <c r="AM1081" s="111"/>
      <c r="AN1081" s="111"/>
      <c r="AO1081" s="111"/>
      <c r="AP1081" s="111"/>
      <c r="AQ1081" s="111"/>
      <c r="AR1081" s="111"/>
      <c r="AS1081" s="111"/>
      <c r="AT1081" s="111"/>
      <c r="AU1081" s="111"/>
      <c r="AV1081" s="50"/>
      <c r="AW1081" s="50"/>
      <c r="AX1081" s="50"/>
      <c r="AY1081" s="50"/>
      <c r="AZ1081" s="50"/>
      <c r="BA1081" s="50"/>
      <c r="BB1081" s="50"/>
      <c r="BC1081" s="50"/>
      <c r="BD1081" s="50"/>
      <c r="BE1081" s="50"/>
      <c r="BF1081" s="50"/>
      <c r="BG1081" s="50"/>
      <c r="BH1081" s="50"/>
      <c r="BI1081" s="50"/>
      <c r="BJ1081" s="50"/>
      <c r="BK1081" s="50"/>
      <c r="BL1081" s="50"/>
      <c r="BM1081" s="50"/>
      <c r="BN1081" s="50"/>
      <c r="BO1081" s="50"/>
      <c r="BP1081" s="50"/>
      <c r="BQ1081" s="50"/>
      <c r="BR1081" s="50"/>
      <c r="BS1081" s="111"/>
      <c r="BT1081" s="50"/>
      <c r="BU1081" s="50"/>
      <c r="BV1081" s="50"/>
      <c r="BW1081" s="50"/>
      <c r="BX1081" s="50"/>
      <c r="BY1081" s="50"/>
      <c r="BZ1081" s="50"/>
      <c r="CA1081" s="50"/>
      <c r="CB1081" s="50"/>
      <c r="CC1081" s="50"/>
      <c r="CD1081" s="50"/>
      <c r="CE1081" s="50"/>
      <c r="CF1081" s="50"/>
      <c r="CG1081" s="50"/>
      <c r="CH1081" s="50"/>
      <c r="CI1081" s="50"/>
      <c r="CJ1081" s="50"/>
      <c r="CK1081" s="50"/>
      <c r="CL1081" s="50"/>
      <c r="CM1081" s="50"/>
      <c r="CN1081" s="50"/>
      <c r="CO1081" s="50"/>
      <c r="CP1081" s="50"/>
      <c r="CQ1081" s="50"/>
      <c r="CR1081" s="50"/>
      <c r="CS1081" s="50"/>
    </row>
    <row r="1082" spans="1:97" ht="15" thickBot="1">
      <c r="A1082" s="49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111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1"/>
      <c r="AF1082" s="111"/>
      <c r="AG1082" s="111"/>
      <c r="AH1082" s="111"/>
      <c r="AI1082" s="111"/>
      <c r="AJ1082" s="111"/>
      <c r="AK1082" s="111"/>
      <c r="AL1082" s="111"/>
      <c r="AM1082" s="111"/>
      <c r="AN1082" s="111"/>
      <c r="AO1082" s="111"/>
      <c r="AP1082" s="111"/>
      <c r="AQ1082" s="111"/>
      <c r="AR1082" s="111"/>
      <c r="AS1082" s="111"/>
      <c r="AT1082" s="111"/>
      <c r="AU1082" s="111"/>
      <c r="AV1082" s="50"/>
      <c r="AW1082" s="50"/>
      <c r="AX1082" s="50"/>
      <c r="AY1082" s="50"/>
      <c r="AZ1082" s="50"/>
      <c r="BA1082" s="50"/>
      <c r="BB1082" s="50"/>
      <c r="BC1082" s="50"/>
      <c r="BD1082" s="50"/>
      <c r="BE1082" s="50"/>
      <c r="BF1082" s="50"/>
      <c r="BG1082" s="50"/>
      <c r="BH1082" s="50"/>
      <c r="BI1082" s="50"/>
      <c r="BJ1082" s="50"/>
      <c r="BK1082" s="50"/>
      <c r="BL1082" s="50"/>
      <c r="BM1082" s="50"/>
      <c r="BN1082" s="50"/>
      <c r="BO1082" s="50"/>
      <c r="BP1082" s="50"/>
      <c r="BQ1082" s="50"/>
      <c r="BR1082" s="50"/>
      <c r="BS1082" s="111"/>
      <c r="BT1082" s="50"/>
      <c r="BU1082" s="50"/>
      <c r="BV1082" s="50"/>
      <c r="BW1082" s="50"/>
      <c r="BX1082" s="50"/>
      <c r="BY1082" s="50"/>
      <c r="BZ1082" s="50"/>
      <c r="CA1082" s="50"/>
      <c r="CB1082" s="50"/>
      <c r="CC1082" s="50"/>
      <c r="CD1082" s="50"/>
      <c r="CE1082" s="50"/>
      <c r="CF1082" s="50"/>
      <c r="CG1082" s="50"/>
      <c r="CH1082" s="50"/>
      <c r="CI1082" s="50"/>
      <c r="CJ1082" s="50"/>
      <c r="CK1082" s="50"/>
      <c r="CL1082" s="50"/>
      <c r="CM1082" s="50"/>
      <c r="CN1082" s="50"/>
      <c r="CO1082" s="50"/>
      <c r="CP1082" s="50"/>
      <c r="CQ1082" s="50"/>
      <c r="CR1082" s="50"/>
      <c r="CS1082" s="50"/>
    </row>
    <row r="1083" spans="1:97" ht="15" thickBot="1">
      <c r="A1083" s="49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111"/>
      <c r="O1083" s="111"/>
      <c r="P1083" s="111"/>
      <c r="Q1083" s="111"/>
      <c r="R1083" s="111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1"/>
      <c r="AF1083" s="111"/>
      <c r="AG1083" s="111"/>
      <c r="AH1083" s="111"/>
      <c r="AI1083" s="111"/>
      <c r="AJ1083" s="111"/>
      <c r="AK1083" s="111"/>
      <c r="AL1083" s="111"/>
      <c r="AM1083" s="111"/>
      <c r="AN1083" s="111"/>
      <c r="AO1083" s="111"/>
      <c r="AP1083" s="111"/>
      <c r="AQ1083" s="111"/>
      <c r="AR1083" s="111"/>
      <c r="AS1083" s="111"/>
      <c r="AT1083" s="111"/>
      <c r="AU1083" s="111"/>
      <c r="AV1083" s="50"/>
      <c r="AW1083" s="50"/>
      <c r="AX1083" s="50"/>
      <c r="AY1083" s="50"/>
      <c r="AZ1083" s="50"/>
      <c r="BA1083" s="50"/>
      <c r="BB1083" s="50"/>
      <c r="BC1083" s="50"/>
      <c r="BD1083" s="50"/>
      <c r="BE1083" s="50"/>
      <c r="BF1083" s="50"/>
      <c r="BG1083" s="50"/>
      <c r="BH1083" s="50"/>
      <c r="BI1083" s="50"/>
      <c r="BJ1083" s="50"/>
      <c r="BK1083" s="50"/>
      <c r="BL1083" s="50"/>
      <c r="BM1083" s="50"/>
      <c r="BN1083" s="50"/>
      <c r="BO1083" s="50"/>
      <c r="BP1083" s="50"/>
      <c r="BQ1083" s="50"/>
      <c r="BR1083" s="50"/>
      <c r="BS1083" s="111"/>
      <c r="BT1083" s="50"/>
      <c r="BU1083" s="50"/>
      <c r="BV1083" s="50"/>
      <c r="BW1083" s="50"/>
      <c r="BX1083" s="50"/>
      <c r="BY1083" s="50"/>
      <c r="BZ1083" s="50"/>
      <c r="CA1083" s="50"/>
      <c r="CB1083" s="50"/>
      <c r="CC1083" s="50"/>
      <c r="CD1083" s="50"/>
      <c r="CE1083" s="50"/>
      <c r="CF1083" s="50"/>
      <c r="CG1083" s="50"/>
      <c r="CH1083" s="50"/>
      <c r="CI1083" s="50"/>
      <c r="CJ1083" s="50"/>
      <c r="CK1083" s="50"/>
      <c r="CL1083" s="50"/>
      <c r="CM1083" s="50"/>
      <c r="CN1083" s="50"/>
      <c r="CO1083" s="50"/>
      <c r="CP1083" s="50"/>
      <c r="CQ1083" s="50"/>
      <c r="CR1083" s="50"/>
      <c r="CS1083" s="50"/>
    </row>
    <row r="1084" spans="1:97" ht="15" thickBot="1">
      <c r="A1084" s="49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111"/>
      <c r="O1084" s="111"/>
      <c r="P1084" s="111"/>
      <c r="Q1084" s="111"/>
      <c r="R1084" s="111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1"/>
      <c r="AF1084" s="111"/>
      <c r="AG1084" s="111"/>
      <c r="AH1084" s="111"/>
      <c r="AI1084" s="111"/>
      <c r="AJ1084" s="111"/>
      <c r="AK1084" s="111"/>
      <c r="AL1084" s="111"/>
      <c r="AM1084" s="111"/>
      <c r="AN1084" s="111"/>
      <c r="AO1084" s="111"/>
      <c r="AP1084" s="111"/>
      <c r="AQ1084" s="111"/>
      <c r="AR1084" s="111"/>
      <c r="AS1084" s="111"/>
      <c r="AT1084" s="111"/>
      <c r="AU1084" s="111"/>
      <c r="AV1084" s="50"/>
      <c r="AW1084" s="50"/>
      <c r="AX1084" s="50"/>
      <c r="AY1084" s="50"/>
      <c r="AZ1084" s="50"/>
      <c r="BA1084" s="50"/>
      <c r="BB1084" s="50"/>
      <c r="BC1084" s="50"/>
      <c r="BD1084" s="50"/>
      <c r="BE1084" s="50"/>
      <c r="BF1084" s="50"/>
      <c r="BG1084" s="50"/>
      <c r="BH1084" s="50"/>
      <c r="BI1084" s="50"/>
      <c r="BJ1084" s="50"/>
      <c r="BK1084" s="50"/>
      <c r="BL1084" s="50"/>
      <c r="BM1084" s="50"/>
      <c r="BN1084" s="50"/>
      <c r="BO1084" s="50"/>
      <c r="BP1084" s="50"/>
      <c r="BQ1084" s="50"/>
      <c r="BR1084" s="50"/>
      <c r="BS1084" s="111"/>
      <c r="BT1084" s="50"/>
      <c r="BU1084" s="50"/>
      <c r="BV1084" s="50"/>
      <c r="BW1084" s="50"/>
      <c r="BX1084" s="50"/>
      <c r="BY1084" s="50"/>
      <c r="BZ1084" s="50"/>
      <c r="CA1084" s="50"/>
      <c r="CB1084" s="50"/>
      <c r="CC1084" s="50"/>
      <c r="CD1084" s="50"/>
      <c r="CE1084" s="50"/>
      <c r="CF1084" s="50"/>
      <c r="CG1084" s="50"/>
      <c r="CH1084" s="50"/>
      <c r="CI1084" s="50"/>
      <c r="CJ1084" s="50"/>
      <c r="CK1084" s="50"/>
      <c r="CL1084" s="50"/>
      <c r="CM1084" s="50"/>
      <c r="CN1084" s="50"/>
      <c r="CO1084" s="50"/>
      <c r="CP1084" s="50"/>
      <c r="CQ1084" s="50"/>
      <c r="CR1084" s="50"/>
      <c r="CS1084" s="50"/>
    </row>
    <row r="1085" spans="1:97" ht="15" thickBot="1">
      <c r="A1085" s="49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111"/>
      <c r="O1085" s="111"/>
      <c r="P1085" s="111"/>
      <c r="Q1085" s="111"/>
      <c r="R1085" s="111"/>
      <c r="S1085" s="111"/>
      <c r="T1085" s="111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1"/>
      <c r="AF1085" s="111"/>
      <c r="AG1085" s="111"/>
      <c r="AH1085" s="111"/>
      <c r="AI1085" s="111"/>
      <c r="AJ1085" s="111"/>
      <c r="AK1085" s="111"/>
      <c r="AL1085" s="111"/>
      <c r="AM1085" s="111"/>
      <c r="AN1085" s="111"/>
      <c r="AO1085" s="111"/>
      <c r="AP1085" s="111"/>
      <c r="AQ1085" s="111"/>
      <c r="AR1085" s="111"/>
      <c r="AS1085" s="111"/>
      <c r="AT1085" s="111"/>
      <c r="AU1085" s="111"/>
      <c r="AV1085" s="50"/>
      <c r="AW1085" s="50"/>
      <c r="AX1085" s="50"/>
      <c r="AY1085" s="50"/>
      <c r="AZ1085" s="50"/>
      <c r="BA1085" s="50"/>
      <c r="BB1085" s="50"/>
      <c r="BC1085" s="50"/>
      <c r="BD1085" s="50"/>
      <c r="BE1085" s="50"/>
      <c r="BF1085" s="50"/>
      <c r="BG1085" s="50"/>
      <c r="BH1085" s="50"/>
      <c r="BI1085" s="50"/>
      <c r="BJ1085" s="50"/>
      <c r="BK1085" s="50"/>
      <c r="BL1085" s="50"/>
      <c r="BM1085" s="50"/>
      <c r="BN1085" s="50"/>
      <c r="BO1085" s="50"/>
      <c r="BP1085" s="50"/>
      <c r="BQ1085" s="50"/>
      <c r="BR1085" s="50"/>
      <c r="BS1085" s="111"/>
      <c r="BT1085" s="50"/>
      <c r="BU1085" s="50"/>
      <c r="BV1085" s="50"/>
      <c r="BW1085" s="50"/>
      <c r="BX1085" s="50"/>
      <c r="BY1085" s="50"/>
      <c r="BZ1085" s="50"/>
      <c r="CA1085" s="50"/>
      <c r="CB1085" s="50"/>
      <c r="CC1085" s="50"/>
      <c r="CD1085" s="50"/>
      <c r="CE1085" s="50"/>
      <c r="CF1085" s="50"/>
      <c r="CG1085" s="50"/>
      <c r="CH1085" s="50"/>
      <c r="CI1085" s="50"/>
      <c r="CJ1085" s="50"/>
      <c r="CK1085" s="50"/>
      <c r="CL1085" s="50"/>
      <c r="CM1085" s="50"/>
      <c r="CN1085" s="50"/>
      <c r="CO1085" s="50"/>
      <c r="CP1085" s="50"/>
      <c r="CQ1085" s="50"/>
      <c r="CR1085" s="50"/>
      <c r="CS1085" s="50"/>
    </row>
    <row r="1086" spans="1:97" ht="15" thickBot="1">
      <c r="A1086" s="49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111"/>
      <c r="O1086" s="111"/>
      <c r="P1086" s="111"/>
      <c r="Q1086" s="111"/>
      <c r="R1086" s="111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1"/>
      <c r="AF1086" s="111"/>
      <c r="AG1086" s="111"/>
      <c r="AH1086" s="111"/>
      <c r="AI1086" s="111"/>
      <c r="AJ1086" s="111"/>
      <c r="AK1086" s="111"/>
      <c r="AL1086" s="111"/>
      <c r="AM1086" s="111"/>
      <c r="AN1086" s="111"/>
      <c r="AO1086" s="111"/>
      <c r="AP1086" s="111"/>
      <c r="AQ1086" s="111"/>
      <c r="AR1086" s="111"/>
      <c r="AS1086" s="111"/>
      <c r="AT1086" s="111"/>
      <c r="AU1086" s="111"/>
      <c r="AV1086" s="50"/>
      <c r="AW1086" s="50"/>
      <c r="AX1086" s="50"/>
      <c r="AY1086" s="50"/>
      <c r="AZ1086" s="50"/>
      <c r="BA1086" s="50"/>
      <c r="BB1086" s="50"/>
      <c r="BC1086" s="50"/>
      <c r="BD1086" s="50"/>
      <c r="BE1086" s="50"/>
      <c r="BF1086" s="50"/>
      <c r="BG1086" s="50"/>
      <c r="BH1086" s="50"/>
      <c r="BI1086" s="50"/>
      <c r="BJ1086" s="50"/>
      <c r="BK1086" s="50"/>
      <c r="BL1086" s="50"/>
      <c r="BM1086" s="50"/>
      <c r="BN1086" s="50"/>
      <c r="BO1086" s="50"/>
      <c r="BP1086" s="50"/>
      <c r="BQ1086" s="50"/>
      <c r="BR1086" s="50"/>
      <c r="BS1086" s="111"/>
      <c r="BT1086" s="50"/>
      <c r="BU1086" s="50"/>
      <c r="BV1086" s="50"/>
      <c r="BW1086" s="50"/>
      <c r="BX1086" s="50"/>
      <c r="BY1086" s="50"/>
      <c r="BZ1086" s="50"/>
      <c r="CA1086" s="50"/>
      <c r="CB1086" s="50"/>
      <c r="CC1086" s="50"/>
      <c r="CD1086" s="50"/>
      <c r="CE1086" s="50"/>
      <c r="CF1086" s="50"/>
      <c r="CG1086" s="50"/>
      <c r="CH1086" s="50"/>
      <c r="CI1086" s="50"/>
      <c r="CJ1086" s="50"/>
      <c r="CK1086" s="50"/>
      <c r="CL1086" s="50"/>
      <c r="CM1086" s="50"/>
      <c r="CN1086" s="50"/>
      <c r="CO1086" s="50"/>
      <c r="CP1086" s="50"/>
      <c r="CQ1086" s="50"/>
      <c r="CR1086" s="50"/>
      <c r="CS1086" s="50"/>
    </row>
    <row r="1087" spans="1:97" ht="15" thickBot="1">
      <c r="A1087" s="49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111"/>
      <c r="O1087" s="111"/>
      <c r="P1087" s="111"/>
      <c r="Q1087" s="111"/>
      <c r="R1087" s="111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1"/>
      <c r="AF1087" s="111"/>
      <c r="AG1087" s="111"/>
      <c r="AH1087" s="111"/>
      <c r="AI1087" s="111"/>
      <c r="AJ1087" s="111"/>
      <c r="AK1087" s="111"/>
      <c r="AL1087" s="111"/>
      <c r="AM1087" s="111"/>
      <c r="AN1087" s="111"/>
      <c r="AO1087" s="111"/>
      <c r="AP1087" s="111"/>
      <c r="AQ1087" s="111"/>
      <c r="AR1087" s="111"/>
      <c r="AS1087" s="111"/>
      <c r="AT1087" s="111"/>
      <c r="AU1087" s="111"/>
      <c r="AV1087" s="50"/>
      <c r="AW1087" s="50"/>
      <c r="AX1087" s="50"/>
      <c r="AY1087" s="50"/>
      <c r="AZ1087" s="50"/>
      <c r="BA1087" s="50"/>
      <c r="BB1087" s="50"/>
      <c r="BC1087" s="50"/>
      <c r="BD1087" s="50"/>
      <c r="BE1087" s="50"/>
      <c r="BF1087" s="50"/>
      <c r="BG1087" s="50"/>
      <c r="BH1087" s="50"/>
      <c r="BI1087" s="50"/>
      <c r="BJ1087" s="50"/>
      <c r="BK1087" s="50"/>
      <c r="BL1087" s="50"/>
      <c r="BM1087" s="50"/>
      <c r="BN1087" s="50"/>
      <c r="BO1087" s="50"/>
      <c r="BP1087" s="50"/>
      <c r="BQ1087" s="50"/>
      <c r="BR1087" s="50"/>
      <c r="BS1087" s="111"/>
      <c r="BT1087" s="50"/>
      <c r="BU1087" s="50"/>
      <c r="BV1087" s="50"/>
      <c r="BW1087" s="50"/>
      <c r="BX1087" s="50"/>
      <c r="BY1087" s="50"/>
      <c r="BZ1087" s="50"/>
      <c r="CA1087" s="50"/>
      <c r="CB1087" s="50"/>
      <c r="CC1087" s="50"/>
      <c r="CD1087" s="50"/>
      <c r="CE1087" s="50"/>
      <c r="CF1087" s="50"/>
      <c r="CG1087" s="50"/>
      <c r="CH1087" s="50"/>
      <c r="CI1087" s="50"/>
      <c r="CJ1087" s="50"/>
      <c r="CK1087" s="50"/>
      <c r="CL1087" s="50"/>
      <c r="CM1087" s="50"/>
      <c r="CN1087" s="50"/>
      <c r="CO1087" s="50"/>
      <c r="CP1087" s="50"/>
      <c r="CQ1087" s="50"/>
      <c r="CR1087" s="50"/>
      <c r="CS1087" s="50"/>
    </row>
    <row r="1088" spans="1:97" ht="15" thickBot="1">
      <c r="A1088" s="49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111"/>
      <c r="O1088" s="111"/>
      <c r="P1088" s="111"/>
      <c r="Q1088" s="111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1"/>
      <c r="AF1088" s="111"/>
      <c r="AG1088" s="111"/>
      <c r="AH1088" s="111"/>
      <c r="AI1088" s="111"/>
      <c r="AJ1088" s="111"/>
      <c r="AK1088" s="111"/>
      <c r="AL1088" s="111"/>
      <c r="AM1088" s="111"/>
      <c r="AN1088" s="111"/>
      <c r="AO1088" s="111"/>
      <c r="AP1088" s="111"/>
      <c r="AQ1088" s="111"/>
      <c r="AR1088" s="111"/>
      <c r="AS1088" s="111"/>
      <c r="AT1088" s="111"/>
      <c r="AU1088" s="111"/>
      <c r="AV1088" s="50"/>
      <c r="AW1088" s="50"/>
      <c r="AX1088" s="50"/>
      <c r="AY1088" s="50"/>
      <c r="AZ1088" s="50"/>
      <c r="BA1088" s="50"/>
      <c r="BB1088" s="50"/>
      <c r="BC1088" s="50"/>
      <c r="BD1088" s="50"/>
      <c r="BE1088" s="50"/>
      <c r="BF1088" s="50"/>
      <c r="BG1088" s="50"/>
      <c r="BH1088" s="50"/>
      <c r="BI1088" s="50"/>
      <c r="BJ1088" s="50"/>
      <c r="BK1088" s="50"/>
      <c r="BL1088" s="50"/>
      <c r="BM1088" s="50"/>
      <c r="BN1088" s="50"/>
      <c r="BO1088" s="50"/>
      <c r="BP1088" s="50"/>
      <c r="BQ1088" s="50"/>
      <c r="BR1088" s="50"/>
      <c r="BS1088" s="111"/>
      <c r="BT1088" s="50"/>
      <c r="BU1088" s="50"/>
      <c r="BV1088" s="50"/>
      <c r="BW1088" s="50"/>
      <c r="BX1088" s="50"/>
      <c r="BY1088" s="50"/>
      <c r="BZ1088" s="50"/>
      <c r="CA1088" s="50"/>
      <c r="CB1088" s="50"/>
      <c r="CC1088" s="50"/>
      <c r="CD1088" s="50"/>
      <c r="CE1088" s="50"/>
      <c r="CF1088" s="50"/>
      <c r="CG1088" s="50"/>
      <c r="CH1088" s="50"/>
      <c r="CI1088" s="50"/>
      <c r="CJ1088" s="50"/>
      <c r="CK1088" s="50"/>
      <c r="CL1088" s="50"/>
      <c r="CM1088" s="50"/>
      <c r="CN1088" s="50"/>
      <c r="CO1088" s="50"/>
      <c r="CP1088" s="50"/>
      <c r="CQ1088" s="50"/>
      <c r="CR1088" s="50"/>
      <c r="CS1088" s="50"/>
    </row>
    <row r="1089" spans="1:97" ht="15" thickBot="1">
      <c r="A1089" s="49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111"/>
      <c r="O1089" s="111"/>
      <c r="P1089" s="111"/>
      <c r="Q1089" s="111"/>
      <c r="R1089" s="111"/>
      <c r="S1089" s="111"/>
      <c r="T1089" s="111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1"/>
      <c r="AF1089" s="111"/>
      <c r="AG1089" s="111"/>
      <c r="AH1089" s="111"/>
      <c r="AI1089" s="111"/>
      <c r="AJ1089" s="111"/>
      <c r="AK1089" s="111"/>
      <c r="AL1089" s="111"/>
      <c r="AM1089" s="111"/>
      <c r="AN1089" s="111"/>
      <c r="AO1089" s="111"/>
      <c r="AP1089" s="111"/>
      <c r="AQ1089" s="111"/>
      <c r="AR1089" s="111"/>
      <c r="AS1089" s="111"/>
      <c r="AT1089" s="111"/>
      <c r="AU1089" s="111"/>
      <c r="AV1089" s="50"/>
      <c r="AW1089" s="50"/>
      <c r="AX1089" s="50"/>
      <c r="AY1089" s="50"/>
      <c r="AZ1089" s="50"/>
      <c r="BA1089" s="50"/>
      <c r="BB1089" s="50"/>
      <c r="BC1089" s="50"/>
      <c r="BD1089" s="50"/>
      <c r="BE1089" s="50"/>
      <c r="BF1089" s="50"/>
      <c r="BG1089" s="50"/>
      <c r="BH1089" s="50"/>
      <c r="BI1089" s="50"/>
      <c r="BJ1089" s="50"/>
      <c r="BK1089" s="50"/>
      <c r="BL1089" s="50"/>
      <c r="BM1089" s="50"/>
      <c r="BN1089" s="50"/>
      <c r="BO1089" s="50"/>
      <c r="BP1089" s="50"/>
      <c r="BQ1089" s="50"/>
      <c r="BR1089" s="50"/>
      <c r="BS1089" s="111"/>
      <c r="BT1089" s="50"/>
      <c r="BU1089" s="50"/>
      <c r="BV1089" s="50"/>
      <c r="BW1089" s="50"/>
      <c r="BX1089" s="50"/>
      <c r="BY1089" s="50"/>
      <c r="BZ1089" s="50"/>
      <c r="CA1089" s="50"/>
      <c r="CB1089" s="50"/>
      <c r="CC1089" s="50"/>
      <c r="CD1089" s="50"/>
      <c r="CE1089" s="50"/>
      <c r="CF1089" s="50"/>
      <c r="CG1089" s="50"/>
      <c r="CH1089" s="50"/>
      <c r="CI1089" s="50"/>
      <c r="CJ1089" s="50"/>
      <c r="CK1089" s="50"/>
      <c r="CL1089" s="50"/>
      <c r="CM1089" s="50"/>
      <c r="CN1089" s="50"/>
      <c r="CO1089" s="50"/>
      <c r="CP1089" s="50"/>
      <c r="CQ1089" s="50"/>
      <c r="CR1089" s="50"/>
      <c r="CS1089" s="50"/>
    </row>
    <row r="1090" spans="1:97" ht="15" thickBot="1">
      <c r="A1090" s="49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111"/>
      <c r="O1090" s="111"/>
      <c r="P1090" s="111"/>
      <c r="Q1090" s="111"/>
      <c r="R1090" s="111"/>
      <c r="S1090" s="111"/>
      <c r="T1090" s="111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1"/>
      <c r="AF1090" s="111"/>
      <c r="AG1090" s="111"/>
      <c r="AH1090" s="111"/>
      <c r="AI1090" s="111"/>
      <c r="AJ1090" s="111"/>
      <c r="AK1090" s="111"/>
      <c r="AL1090" s="111"/>
      <c r="AM1090" s="111"/>
      <c r="AN1090" s="111"/>
      <c r="AO1090" s="111"/>
      <c r="AP1090" s="111"/>
      <c r="AQ1090" s="111"/>
      <c r="AR1090" s="111"/>
      <c r="AS1090" s="111"/>
      <c r="AT1090" s="111"/>
      <c r="AU1090" s="111"/>
      <c r="AV1090" s="50"/>
      <c r="AW1090" s="50"/>
      <c r="AX1090" s="50"/>
      <c r="AY1090" s="50"/>
      <c r="AZ1090" s="50"/>
      <c r="BA1090" s="50"/>
      <c r="BB1090" s="50"/>
      <c r="BC1090" s="50"/>
      <c r="BD1090" s="50"/>
      <c r="BE1090" s="50"/>
      <c r="BF1090" s="50"/>
      <c r="BG1090" s="50"/>
      <c r="BH1090" s="50"/>
      <c r="BI1090" s="50"/>
      <c r="BJ1090" s="50"/>
      <c r="BK1090" s="50"/>
      <c r="BL1090" s="50"/>
      <c r="BM1090" s="50"/>
      <c r="BN1090" s="50"/>
      <c r="BO1090" s="50"/>
      <c r="BP1090" s="50"/>
      <c r="BQ1090" s="50"/>
      <c r="BR1090" s="50"/>
      <c r="BS1090" s="111"/>
      <c r="BT1090" s="50"/>
      <c r="BU1090" s="50"/>
      <c r="BV1090" s="50"/>
      <c r="BW1090" s="50"/>
      <c r="BX1090" s="50"/>
      <c r="BY1090" s="50"/>
      <c r="BZ1090" s="50"/>
      <c r="CA1090" s="50"/>
      <c r="CB1090" s="50"/>
      <c r="CC1090" s="50"/>
      <c r="CD1090" s="50"/>
      <c r="CE1090" s="50"/>
      <c r="CF1090" s="50"/>
      <c r="CG1090" s="50"/>
      <c r="CH1090" s="50"/>
      <c r="CI1090" s="50"/>
      <c r="CJ1090" s="50"/>
      <c r="CK1090" s="50"/>
      <c r="CL1090" s="50"/>
      <c r="CM1090" s="50"/>
      <c r="CN1090" s="50"/>
      <c r="CO1090" s="50"/>
      <c r="CP1090" s="50"/>
      <c r="CQ1090" s="50"/>
      <c r="CR1090" s="50"/>
      <c r="CS1090" s="50"/>
    </row>
    <row r="1091" spans="1:97" ht="15" thickBot="1">
      <c r="A1091" s="49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111"/>
      <c r="O1091" s="111"/>
      <c r="P1091" s="111"/>
      <c r="Q1091" s="111"/>
      <c r="R1091" s="111"/>
      <c r="S1091" s="111"/>
      <c r="T1091" s="111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1"/>
      <c r="AF1091" s="111"/>
      <c r="AG1091" s="111"/>
      <c r="AH1091" s="111"/>
      <c r="AI1091" s="111"/>
      <c r="AJ1091" s="111"/>
      <c r="AK1091" s="111"/>
      <c r="AL1091" s="111"/>
      <c r="AM1091" s="111"/>
      <c r="AN1091" s="111"/>
      <c r="AO1091" s="111"/>
      <c r="AP1091" s="111"/>
      <c r="AQ1091" s="111"/>
      <c r="AR1091" s="111"/>
      <c r="AS1091" s="111"/>
      <c r="AT1091" s="111"/>
      <c r="AU1091" s="111"/>
      <c r="AV1091" s="50"/>
      <c r="AW1091" s="50"/>
      <c r="AX1091" s="50"/>
      <c r="AY1091" s="50"/>
      <c r="AZ1091" s="50"/>
      <c r="BA1091" s="50"/>
      <c r="BB1091" s="50"/>
      <c r="BC1091" s="50"/>
      <c r="BD1091" s="50"/>
      <c r="BE1091" s="50"/>
      <c r="BF1091" s="50"/>
      <c r="BG1091" s="50"/>
      <c r="BH1091" s="50"/>
      <c r="BI1091" s="50"/>
      <c r="BJ1091" s="50"/>
      <c r="BK1091" s="50"/>
      <c r="BL1091" s="50"/>
      <c r="BM1091" s="50"/>
      <c r="BN1091" s="50"/>
      <c r="BO1091" s="50"/>
      <c r="BP1091" s="50"/>
      <c r="BQ1091" s="50"/>
      <c r="BR1091" s="50"/>
      <c r="BS1091" s="111"/>
      <c r="BT1091" s="50"/>
      <c r="BU1091" s="50"/>
      <c r="BV1091" s="50"/>
      <c r="BW1091" s="50"/>
      <c r="BX1091" s="50"/>
      <c r="BY1091" s="50"/>
      <c r="BZ1091" s="50"/>
      <c r="CA1091" s="50"/>
      <c r="CB1091" s="50"/>
      <c r="CC1091" s="50"/>
      <c r="CD1091" s="50"/>
      <c r="CE1091" s="50"/>
      <c r="CF1091" s="50"/>
      <c r="CG1091" s="50"/>
      <c r="CH1091" s="50"/>
      <c r="CI1091" s="50"/>
      <c r="CJ1091" s="50"/>
      <c r="CK1091" s="50"/>
      <c r="CL1091" s="50"/>
      <c r="CM1091" s="50"/>
      <c r="CN1091" s="50"/>
      <c r="CO1091" s="50"/>
      <c r="CP1091" s="50"/>
      <c r="CQ1091" s="50"/>
      <c r="CR1091" s="50"/>
      <c r="CS1091" s="50"/>
    </row>
    <row r="1092" spans="1:97" ht="15" thickBot="1">
      <c r="A1092" s="49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111"/>
      <c r="O1092" s="111"/>
      <c r="P1092" s="111"/>
      <c r="Q1092" s="111"/>
      <c r="R1092" s="111"/>
      <c r="S1092" s="111"/>
      <c r="T1092" s="111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1"/>
      <c r="AF1092" s="111"/>
      <c r="AG1092" s="111"/>
      <c r="AH1092" s="111"/>
      <c r="AI1092" s="111"/>
      <c r="AJ1092" s="111"/>
      <c r="AK1092" s="111"/>
      <c r="AL1092" s="111"/>
      <c r="AM1092" s="111"/>
      <c r="AN1092" s="111"/>
      <c r="AO1092" s="111"/>
      <c r="AP1092" s="111"/>
      <c r="AQ1092" s="111"/>
      <c r="AR1092" s="111"/>
      <c r="AS1092" s="111"/>
      <c r="AT1092" s="111"/>
      <c r="AU1092" s="111"/>
      <c r="AV1092" s="50"/>
      <c r="AW1092" s="50"/>
      <c r="AX1092" s="50"/>
      <c r="AY1092" s="50"/>
      <c r="AZ1092" s="50"/>
      <c r="BA1092" s="50"/>
      <c r="BB1092" s="50"/>
      <c r="BC1092" s="50"/>
      <c r="BD1092" s="50"/>
      <c r="BE1092" s="50"/>
      <c r="BF1092" s="50"/>
      <c r="BG1092" s="50"/>
      <c r="BH1092" s="50"/>
      <c r="BI1092" s="50"/>
      <c r="BJ1092" s="50"/>
      <c r="BK1092" s="50"/>
      <c r="BL1092" s="50"/>
      <c r="BM1092" s="50"/>
      <c r="BN1092" s="50"/>
      <c r="BO1092" s="50"/>
      <c r="BP1092" s="50"/>
      <c r="BQ1092" s="50"/>
      <c r="BR1092" s="50"/>
      <c r="BS1092" s="111"/>
      <c r="BT1092" s="50"/>
      <c r="BU1092" s="50"/>
      <c r="BV1092" s="50"/>
      <c r="BW1092" s="50"/>
      <c r="BX1092" s="50"/>
      <c r="BY1092" s="50"/>
      <c r="BZ1092" s="50"/>
      <c r="CA1092" s="50"/>
      <c r="CB1092" s="50"/>
      <c r="CC1092" s="50"/>
      <c r="CD1092" s="50"/>
      <c r="CE1092" s="50"/>
      <c r="CF1092" s="50"/>
      <c r="CG1092" s="50"/>
      <c r="CH1092" s="50"/>
      <c r="CI1092" s="50"/>
      <c r="CJ1092" s="50"/>
      <c r="CK1092" s="50"/>
      <c r="CL1092" s="50"/>
      <c r="CM1092" s="50"/>
      <c r="CN1092" s="50"/>
      <c r="CO1092" s="50"/>
      <c r="CP1092" s="50"/>
      <c r="CQ1092" s="50"/>
      <c r="CR1092" s="50"/>
      <c r="CS1092" s="50"/>
    </row>
    <row r="1093" spans="1:97" ht="15" thickBot="1">
      <c r="A1093" s="49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111"/>
      <c r="O1093" s="111"/>
      <c r="P1093" s="111"/>
      <c r="Q1093" s="111"/>
      <c r="R1093" s="111"/>
      <c r="S1093" s="111"/>
      <c r="T1093" s="111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1"/>
      <c r="AF1093" s="111"/>
      <c r="AG1093" s="111"/>
      <c r="AH1093" s="111"/>
      <c r="AI1093" s="111"/>
      <c r="AJ1093" s="111"/>
      <c r="AK1093" s="111"/>
      <c r="AL1093" s="111"/>
      <c r="AM1093" s="111"/>
      <c r="AN1093" s="111"/>
      <c r="AO1093" s="111"/>
      <c r="AP1093" s="111"/>
      <c r="AQ1093" s="111"/>
      <c r="AR1093" s="111"/>
      <c r="AS1093" s="111"/>
      <c r="AT1093" s="111"/>
      <c r="AU1093" s="111"/>
      <c r="AV1093" s="50"/>
      <c r="AW1093" s="50"/>
      <c r="AX1093" s="50"/>
      <c r="AY1093" s="50"/>
      <c r="AZ1093" s="50"/>
      <c r="BA1093" s="50"/>
      <c r="BB1093" s="50"/>
      <c r="BC1093" s="50"/>
      <c r="BD1093" s="50"/>
      <c r="BE1093" s="50"/>
      <c r="BF1093" s="50"/>
      <c r="BG1093" s="50"/>
      <c r="BH1093" s="50"/>
      <c r="BI1093" s="50"/>
      <c r="BJ1093" s="50"/>
      <c r="BK1093" s="50"/>
      <c r="BL1093" s="50"/>
      <c r="BM1093" s="50"/>
      <c r="BN1093" s="50"/>
      <c r="BO1093" s="50"/>
      <c r="BP1093" s="50"/>
      <c r="BQ1093" s="50"/>
      <c r="BR1093" s="50"/>
      <c r="BS1093" s="111"/>
      <c r="BT1093" s="50"/>
      <c r="BU1093" s="50"/>
      <c r="BV1093" s="50"/>
      <c r="BW1093" s="50"/>
      <c r="BX1093" s="50"/>
      <c r="BY1093" s="50"/>
      <c r="BZ1093" s="50"/>
      <c r="CA1093" s="50"/>
      <c r="CB1093" s="50"/>
      <c r="CC1093" s="50"/>
      <c r="CD1093" s="50"/>
      <c r="CE1093" s="50"/>
      <c r="CF1093" s="50"/>
      <c r="CG1093" s="50"/>
      <c r="CH1093" s="50"/>
      <c r="CI1093" s="50"/>
      <c r="CJ1093" s="50"/>
      <c r="CK1093" s="50"/>
      <c r="CL1093" s="50"/>
      <c r="CM1093" s="50"/>
      <c r="CN1093" s="50"/>
      <c r="CO1093" s="50"/>
      <c r="CP1093" s="50"/>
      <c r="CQ1093" s="50"/>
      <c r="CR1093" s="50"/>
      <c r="CS1093" s="50"/>
    </row>
    <row r="1094" spans="1:97" ht="15" thickBot="1">
      <c r="A1094" s="49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111"/>
      <c r="O1094" s="111"/>
      <c r="P1094" s="111"/>
      <c r="Q1094" s="111"/>
      <c r="R1094" s="111"/>
      <c r="S1094" s="111"/>
      <c r="T1094" s="111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1"/>
      <c r="AF1094" s="111"/>
      <c r="AG1094" s="111"/>
      <c r="AH1094" s="111"/>
      <c r="AI1094" s="111"/>
      <c r="AJ1094" s="111"/>
      <c r="AK1094" s="111"/>
      <c r="AL1094" s="111"/>
      <c r="AM1094" s="111"/>
      <c r="AN1094" s="111"/>
      <c r="AO1094" s="111"/>
      <c r="AP1094" s="111"/>
      <c r="AQ1094" s="111"/>
      <c r="AR1094" s="111"/>
      <c r="AS1094" s="111"/>
      <c r="AT1094" s="111"/>
      <c r="AU1094" s="111"/>
      <c r="AV1094" s="50"/>
      <c r="AW1094" s="50"/>
      <c r="AX1094" s="50"/>
      <c r="AY1094" s="50"/>
      <c r="AZ1094" s="50"/>
      <c r="BA1094" s="50"/>
      <c r="BB1094" s="50"/>
      <c r="BC1094" s="50"/>
      <c r="BD1094" s="50"/>
      <c r="BE1094" s="50"/>
      <c r="BF1094" s="50"/>
      <c r="BG1094" s="50"/>
      <c r="BH1094" s="50"/>
      <c r="BI1094" s="50"/>
      <c r="BJ1094" s="50"/>
      <c r="BK1094" s="50"/>
      <c r="BL1094" s="50"/>
      <c r="BM1094" s="50"/>
      <c r="BN1094" s="50"/>
      <c r="BO1094" s="50"/>
      <c r="BP1094" s="50"/>
      <c r="BQ1094" s="50"/>
      <c r="BR1094" s="50"/>
      <c r="BS1094" s="111"/>
      <c r="BT1094" s="50"/>
      <c r="BU1094" s="50"/>
      <c r="BV1094" s="50"/>
      <c r="BW1094" s="50"/>
      <c r="BX1094" s="50"/>
      <c r="BY1094" s="50"/>
      <c r="BZ1094" s="50"/>
      <c r="CA1094" s="50"/>
      <c r="CB1094" s="50"/>
      <c r="CC1094" s="50"/>
      <c r="CD1094" s="50"/>
      <c r="CE1094" s="50"/>
      <c r="CF1094" s="50"/>
      <c r="CG1094" s="50"/>
      <c r="CH1094" s="50"/>
      <c r="CI1094" s="50"/>
      <c r="CJ1094" s="50"/>
      <c r="CK1094" s="50"/>
      <c r="CL1094" s="50"/>
      <c r="CM1094" s="50"/>
      <c r="CN1094" s="50"/>
      <c r="CO1094" s="50"/>
      <c r="CP1094" s="50"/>
      <c r="CQ1094" s="50"/>
      <c r="CR1094" s="50"/>
      <c r="CS1094" s="50"/>
    </row>
    <row r="1095" spans="1:97" ht="15" thickBot="1">
      <c r="A1095" s="49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111"/>
      <c r="O1095" s="111"/>
      <c r="P1095" s="111"/>
      <c r="Q1095" s="111"/>
      <c r="R1095" s="111"/>
      <c r="S1095" s="111"/>
      <c r="T1095" s="111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1"/>
      <c r="AF1095" s="111"/>
      <c r="AG1095" s="111"/>
      <c r="AH1095" s="111"/>
      <c r="AI1095" s="111"/>
      <c r="AJ1095" s="111"/>
      <c r="AK1095" s="111"/>
      <c r="AL1095" s="111"/>
      <c r="AM1095" s="111"/>
      <c r="AN1095" s="111"/>
      <c r="AO1095" s="111"/>
      <c r="AP1095" s="111"/>
      <c r="AQ1095" s="111"/>
      <c r="AR1095" s="111"/>
      <c r="AS1095" s="111"/>
      <c r="AT1095" s="111"/>
      <c r="AU1095" s="111"/>
      <c r="AV1095" s="50"/>
      <c r="AW1095" s="50"/>
      <c r="AX1095" s="50"/>
      <c r="AY1095" s="50"/>
      <c r="AZ1095" s="50"/>
      <c r="BA1095" s="50"/>
      <c r="BB1095" s="50"/>
      <c r="BC1095" s="50"/>
      <c r="BD1095" s="50"/>
      <c r="BE1095" s="50"/>
      <c r="BF1095" s="50"/>
      <c r="BG1095" s="50"/>
      <c r="BH1095" s="50"/>
      <c r="BI1095" s="50"/>
      <c r="BJ1095" s="50"/>
      <c r="BK1095" s="50"/>
      <c r="BL1095" s="50"/>
      <c r="BM1095" s="50"/>
      <c r="BN1095" s="50"/>
      <c r="BO1095" s="50"/>
      <c r="BP1095" s="50"/>
      <c r="BQ1095" s="50"/>
      <c r="BR1095" s="50"/>
      <c r="BS1095" s="111"/>
      <c r="BT1095" s="50"/>
      <c r="BU1095" s="50"/>
      <c r="BV1095" s="50"/>
      <c r="BW1095" s="50"/>
      <c r="BX1095" s="50"/>
      <c r="BY1095" s="50"/>
      <c r="BZ1095" s="50"/>
      <c r="CA1095" s="50"/>
      <c r="CB1095" s="50"/>
      <c r="CC1095" s="50"/>
      <c r="CD1095" s="50"/>
      <c r="CE1095" s="50"/>
      <c r="CF1095" s="50"/>
      <c r="CG1095" s="50"/>
      <c r="CH1095" s="50"/>
      <c r="CI1095" s="50"/>
      <c r="CJ1095" s="50"/>
      <c r="CK1095" s="50"/>
      <c r="CL1095" s="50"/>
      <c r="CM1095" s="50"/>
      <c r="CN1095" s="50"/>
      <c r="CO1095" s="50"/>
      <c r="CP1095" s="50"/>
      <c r="CQ1095" s="50"/>
      <c r="CR1095" s="50"/>
      <c r="CS1095" s="50"/>
    </row>
    <row r="1096" spans="1:97" ht="15" thickBot="1">
      <c r="A1096" s="49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111"/>
      <c r="O1096" s="111"/>
      <c r="P1096" s="111"/>
      <c r="Q1096" s="111"/>
      <c r="R1096" s="111"/>
      <c r="S1096" s="111"/>
      <c r="T1096" s="111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1"/>
      <c r="AF1096" s="111"/>
      <c r="AG1096" s="111"/>
      <c r="AH1096" s="111"/>
      <c r="AI1096" s="111"/>
      <c r="AJ1096" s="111"/>
      <c r="AK1096" s="111"/>
      <c r="AL1096" s="111"/>
      <c r="AM1096" s="111"/>
      <c r="AN1096" s="111"/>
      <c r="AO1096" s="111"/>
      <c r="AP1096" s="111"/>
      <c r="AQ1096" s="111"/>
      <c r="AR1096" s="111"/>
      <c r="AS1096" s="111"/>
      <c r="AT1096" s="111"/>
      <c r="AU1096" s="111"/>
      <c r="AV1096" s="50"/>
      <c r="AW1096" s="50"/>
      <c r="AX1096" s="50"/>
      <c r="AY1096" s="50"/>
      <c r="AZ1096" s="50"/>
      <c r="BA1096" s="50"/>
      <c r="BB1096" s="50"/>
      <c r="BC1096" s="50"/>
      <c r="BD1096" s="50"/>
      <c r="BE1096" s="50"/>
      <c r="BF1096" s="50"/>
      <c r="BG1096" s="50"/>
      <c r="BH1096" s="50"/>
      <c r="BI1096" s="50"/>
      <c r="BJ1096" s="50"/>
      <c r="BK1096" s="50"/>
      <c r="BL1096" s="50"/>
      <c r="BM1096" s="50"/>
      <c r="BN1096" s="50"/>
      <c r="BO1096" s="50"/>
      <c r="BP1096" s="50"/>
      <c r="BQ1096" s="50"/>
      <c r="BR1096" s="50"/>
      <c r="BS1096" s="111"/>
      <c r="BT1096" s="50"/>
      <c r="BU1096" s="50"/>
      <c r="BV1096" s="50"/>
      <c r="BW1096" s="50"/>
      <c r="BX1096" s="50"/>
      <c r="BY1096" s="50"/>
      <c r="BZ1096" s="50"/>
      <c r="CA1096" s="50"/>
      <c r="CB1096" s="50"/>
      <c r="CC1096" s="50"/>
      <c r="CD1096" s="50"/>
      <c r="CE1096" s="50"/>
      <c r="CF1096" s="50"/>
      <c r="CG1096" s="50"/>
      <c r="CH1096" s="50"/>
      <c r="CI1096" s="50"/>
      <c r="CJ1096" s="50"/>
      <c r="CK1096" s="50"/>
      <c r="CL1096" s="50"/>
      <c r="CM1096" s="50"/>
      <c r="CN1096" s="50"/>
      <c r="CO1096" s="50"/>
      <c r="CP1096" s="50"/>
      <c r="CQ1096" s="50"/>
      <c r="CR1096" s="50"/>
      <c r="CS1096" s="50"/>
    </row>
    <row r="1097" spans="1:97" ht="15" thickBot="1">
      <c r="A1097" s="49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111"/>
      <c r="O1097" s="111"/>
      <c r="P1097" s="111"/>
      <c r="Q1097" s="111"/>
      <c r="R1097" s="111"/>
      <c r="S1097" s="111"/>
      <c r="T1097" s="111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1"/>
      <c r="AF1097" s="111"/>
      <c r="AG1097" s="111"/>
      <c r="AH1097" s="111"/>
      <c r="AI1097" s="111"/>
      <c r="AJ1097" s="111"/>
      <c r="AK1097" s="111"/>
      <c r="AL1097" s="111"/>
      <c r="AM1097" s="111"/>
      <c r="AN1097" s="111"/>
      <c r="AO1097" s="111"/>
      <c r="AP1097" s="111"/>
      <c r="AQ1097" s="111"/>
      <c r="AR1097" s="111"/>
      <c r="AS1097" s="111"/>
      <c r="AT1097" s="111"/>
      <c r="AU1097" s="111"/>
      <c r="AV1097" s="50"/>
      <c r="AW1097" s="50"/>
      <c r="AX1097" s="50"/>
      <c r="AY1097" s="50"/>
      <c r="AZ1097" s="50"/>
      <c r="BA1097" s="50"/>
      <c r="BB1097" s="50"/>
      <c r="BC1097" s="50"/>
      <c r="BD1097" s="50"/>
      <c r="BE1097" s="50"/>
      <c r="BF1097" s="50"/>
      <c r="BG1097" s="50"/>
      <c r="BH1097" s="50"/>
      <c r="BI1097" s="50"/>
      <c r="BJ1097" s="50"/>
      <c r="BK1097" s="50"/>
      <c r="BL1097" s="50"/>
      <c r="BM1097" s="50"/>
      <c r="BN1097" s="50"/>
      <c r="BO1097" s="50"/>
      <c r="BP1097" s="50"/>
      <c r="BQ1097" s="50"/>
      <c r="BR1097" s="50"/>
      <c r="BS1097" s="111"/>
      <c r="BT1097" s="50"/>
      <c r="BU1097" s="50"/>
      <c r="BV1097" s="50"/>
      <c r="BW1097" s="50"/>
      <c r="BX1097" s="50"/>
      <c r="BY1097" s="50"/>
      <c r="BZ1097" s="50"/>
      <c r="CA1097" s="50"/>
      <c r="CB1097" s="50"/>
      <c r="CC1097" s="50"/>
      <c r="CD1097" s="50"/>
      <c r="CE1097" s="50"/>
      <c r="CF1097" s="50"/>
      <c r="CG1097" s="50"/>
      <c r="CH1097" s="50"/>
      <c r="CI1097" s="50"/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</row>
    <row r="1098" spans="1:97" ht="15" thickBot="1">
      <c r="A1098" s="49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111"/>
      <c r="O1098" s="111"/>
      <c r="P1098" s="111"/>
      <c r="Q1098" s="111"/>
      <c r="R1098" s="111"/>
      <c r="S1098" s="111"/>
      <c r="T1098" s="111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1"/>
      <c r="AF1098" s="111"/>
      <c r="AG1098" s="111"/>
      <c r="AH1098" s="111"/>
      <c r="AI1098" s="111"/>
      <c r="AJ1098" s="111"/>
      <c r="AK1098" s="111"/>
      <c r="AL1098" s="111"/>
      <c r="AM1098" s="111"/>
      <c r="AN1098" s="111"/>
      <c r="AO1098" s="111"/>
      <c r="AP1098" s="111"/>
      <c r="AQ1098" s="111"/>
      <c r="AR1098" s="111"/>
      <c r="AS1098" s="111"/>
      <c r="AT1098" s="111"/>
      <c r="AU1098" s="111"/>
      <c r="AV1098" s="50"/>
      <c r="AW1098" s="50"/>
      <c r="AX1098" s="50"/>
      <c r="AY1098" s="50"/>
      <c r="AZ1098" s="50"/>
      <c r="BA1098" s="50"/>
      <c r="BB1098" s="50"/>
      <c r="BC1098" s="50"/>
      <c r="BD1098" s="50"/>
      <c r="BE1098" s="50"/>
      <c r="BF1098" s="50"/>
      <c r="BG1098" s="50"/>
      <c r="BH1098" s="50"/>
      <c r="BI1098" s="50"/>
      <c r="BJ1098" s="50"/>
      <c r="BK1098" s="50"/>
      <c r="BL1098" s="50"/>
      <c r="BM1098" s="50"/>
      <c r="BN1098" s="50"/>
      <c r="BO1098" s="50"/>
      <c r="BP1098" s="50"/>
      <c r="BQ1098" s="50"/>
      <c r="BR1098" s="50"/>
      <c r="BS1098" s="111"/>
      <c r="BT1098" s="50"/>
      <c r="BU1098" s="50"/>
      <c r="BV1098" s="50"/>
      <c r="BW1098" s="50"/>
      <c r="BX1098" s="50"/>
      <c r="BY1098" s="50"/>
      <c r="BZ1098" s="50"/>
      <c r="CA1098" s="50"/>
      <c r="CB1098" s="50"/>
      <c r="CC1098" s="50"/>
      <c r="CD1098" s="50"/>
      <c r="CE1098" s="50"/>
      <c r="CF1098" s="50"/>
      <c r="CG1098" s="50"/>
      <c r="CH1098" s="50"/>
      <c r="CI1098" s="50"/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</row>
    <row r="1099" spans="1:97" ht="15" thickBot="1">
      <c r="A1099" s="49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111"/>
      <c r="O1099" s="111"/>
      <c r="P1099" s="111"/>
      <c r="Q1099" s="111"/>
      <c r="R1099" s="111"/>
      <c r="S1099" s="111"/>
      <c r="T1099" s="111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1"/>
      <c r="AF1099" s="111"/>
      <c r="AG1099" s="111"/>
      <c r="AH1099" s="111"/>
      <c r="AI1099" s="111"/>
      <c r="AJ1099" s="111"/>
      <c r="AK1099" s="111"/>
      <c r="AL1099" s="111"/>
      <c r="AM1099" s="111"/>
      <c r="AN1099" s="111"/>
      <c r="AO1099" s="111"/>
      <c r="AP1099" s="111"/>
      <c r="AQ1099" s="111"/>
      <c r="AR1099" s="111"/>
      <c r="AS1099" s="111"/>
      <c r="AT1099" s="111"/>
      <c r="AU1099" s="111"/>
      <c r="AV1099" s="50"/>
      <c r="AW1099" s="50"/>
      <c r="AX1099" s="50"/>
      <c r="AY1099" s="50"/>
      <c r="AZ1099" s="50"/>
      <c r="BA1099" s="50"/>
      <c r="BB1099" s="50"/>
      <c r="BC1099" s="50"/>
      <c r="BD1099" s="50"/>
      <c r="BE1099" s="50"/>
      <c r="BF1099" s="50"/>
      <c r="BG1099" s="50"/>
      <c r="BH1099" s="50"/>
      <c r="BI1099" s="50"/>
      <c r="BJ1099" s="50"/>
      <c r="BK1099" s="50"/>
      <c r="BL1099" s="50"/>
      <c r="BM1099" s="50"/>
      <c r="BN1099" s="50"/>
      <c r="BO1099" s="50"/>
      <c r="BP1099" s="50"/>
      <c r="BQ1099" s="50"/>
      <c r="BR1099" s="50"/>
      <c r="BS1099" s="111"/>
      <c r="BT1099" s="50"/>
      <c r="BU1099" s="50"/>
      <c r="BV1099" s="50"/>
      <c r="BW1099" s="50"/>
      <c r="BX1099" s="50"/>
      <c r="BY1099" s="50"/>
      <c r="BZ1099" s="50"/>
      <c r="CA1099" s="50"/>
      <c r="CB1099" s="50"/>
      <c r="CC1099" s="50"/>
      <c r="CD1099" s="50"/>
      <c r="CE1099" s="50"/>
      <c r="CF1099" s="50"/>
      <c r="CG1099" s="50"/>
      <c r="CH1099" s="50"/>
      <c r="CI1099" s="50"/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</row>
    <row r="1100" spans="1:97" ht="15" thickBot="1">
      <c r="A1100" s="49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111"/>
      <c r="O1100" s="111"/>
      <c r="P1100" s="111"/>
      <c r="Q1100" s="111"/>
      <c r="R1100" s="111"/>
      <c r="S1100" s="111"/>
      <c r="T1100" s="111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1"/>
      <c r="AF1100" s="111"/>
      <c r="AG1100" s="111"/>
      <c r="AH1100" s="111"/>
      <c r="AI1100" s="111"/>
      <c r="AJ1100" s="111"/>
      <c r="AK1100" s="111"/>
      <c r="AL1100" s="111"/>
      <c r="AM1100" s="111"/>
      <c r="AN1100" s="111"/>
      <c r="AO1100" s="111"/>
      <c r="AP1100" s="111"/>
      <c r="AQ1100" s="111"/>
      <c r="AR1100" s="111"/>
      <c r="AS1100" s="111"/>
      <c r="AT1100" s="111"/>
      <c r="AU1100" s="111"/>
      <c r="AV1100" s="50"/>
      <c r="AW1100" s="50"/>
      <c r="AX1100" s="50"/>
      <c r="AY1100" s="50"/>
      <c r="AZ1100" s="50"/>
      <c r="BA1100" s="50"/>
      <c r="BB1100" s="50"/>
      <c r="BC1100" s="50"/>
      <c r="BD1100" s="50"/>
      <c r="BE1100" s="50"/>
      <c r="BF1100" s="50"/>
      <c r="BG1100" s="50"/>
      <c r="BH1100" s="50"/>
      <c r="BI1100" s="50"/>
      <c r="BJ1100" s="50"/>
      <c r="BK1100" s="50"/>
      <c r="BL1100" s="50"/>
      <c r="BM1100" s="50"/>
      <c r="BN1100" s="50"/>
      <c r="BO1100" s="50"/>
      <c r="BP1100" s="50"/>
      <c r="BQ1100" s="50"/>
      <c r="BR1100" s="50"/>
      <c r="BS1100" s="111"/>
      <c r="BT1100" s="50"/>
      <c r="BU1100" s="50"/>
      <c r="BV1100" s="50"/>
      <c r="BW1100" s="50"/>
      <c r="BX1100" s="50"/>
      <c r="BY1100" s="50"/>
      <c r="BZ1100" s="50"/>
      <c r="CA1100" s="50"/>
      <c r="CB1100" s="50"/>
      <c r="CC1100" s="50"/>
      <c r="CD1100" s="50"/>
      <c r="CE1100" s="50"/>
      <c r="CF1100" s="50"/>
      <c r="CG1100" s="50"/>
      <c r="CH1100" s="50"/>
      <c r="CI1100" s="50"/>
      <c r="CJ1100" s="50"/>
      <c r="CK1100" s="50"/>
      <c r="CL1100" s="50"/>
      <c r="CM1100" s="50"/>
      <c r="CN1100" s="50"/>
      <c r="CO1100" s="50"/>
      <c r="CP1100" s="50"/>
      <c r="CQ1100" s="50"/>
      <c r="CR1100" s="50"/>
      <c r="CS1100" s="50"/>
    </row>
    <row r="1101" spans="1:97" ht="15" thickBot="1">
      <c r="A1101" s="49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111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1"/>
      <c r="AF1101" s="111"/>
      <c r="AG1101" s="111"/>
      <c r="AH1101" s="111"/>
      <c r="AI1101" s="111"/>
      <c r="AJ1101" s="111"/>
      <c r="AK1101" s="111"/>
      <c r="AL1101" s="111"/>
      <c r="AM1101" s="111"/>
      <c r="AN1101" s="111"/>
      <c r="AO1101" s="111"/>
      <c r="AP1101" s="111"/>
      <c r="AQ1101" s="111"/>
      <c r="AR1101" s="111"/>
      <c r="AS1101" s="111"/>
      <c r="AT1101" s="111"/>
      <c r="AU1101" s="111"/>
      <c r="AV1101" s="50"/>
      <c r="AW1101" s="50"/>
      <c r="AX1101" s="50"/>
      <c r="AY1101" s="50"/>
      <c r="AZ1101" s="50"/>
      <c r="BA1101" s="50"/>
      <c r="BB1101" s="50"/>
      <c r="BC1101" s="50"/>
      <c r="BD1101" s="50"/>
      <c r="BE1101" s="50"/>
      <c r="BF1101" s="50"/>
      <c r="BG1101" s="50"/>
      <c r="BH1101" s="50"/>
      <c r="BI1101" s="50"/>
      <c r="BJ1101" s="50"/>
      <c r="BK1101" s="50"/>
      <c r="BL1101" s="50"/>
      <c r="BM1101" s="50"/>
      <c r="BN1101" s="50"/>
      <c r="BO1101" s="50"/>
      <c r="BP1101" s="50"/>
      <c r="BQ1101" s="50"/>
      <c r="BR1101" s="50"/>
      <c r="BS1101" s="111"/>
      <c r="BT1101" s="50"/>
      <c r="BU1101" s="50"/>
      <c r="BV1101" s="50"/>
      <c r="BW1101" s="50"/>
      <c r="BX1101" s="50"/>
      <c r="BY1101" s="50"/>
      <c r="BZ1101" s="50"/>
      <c r="CA1101" s="50"/>
      <c r="CB1101" s="50"/>
      <c r="CC1101" s="50"/>
      <c r="CD1101" s="50"/>
      <c r="CE1101" s="50"/>
      <c r="CF1101" s="50"/>
      <c r="CG1101" s="50"/>
      <c r="CH1101" s="50"/>
      <c r="CI1101" s="50"/>
      <c r="CJ1101" s="50"/>
      <c r="CK1101" s="50"/>
      <c r="CL1101" s="50"/>
      <c r="CM1101" s="50"/>
      <c r="CN1101" s="50"/>
      <c r="CO1101" s="50"/>
      <c r="CP1101" s="50"/>
      <c r="CQ1101" s="50"/>
      <c r="CR1101" s="50"/>
      <c r="CS1101" s="50"/>
    </row>
    <row r="1102" spans="1:97" ht="15" thickBot="1">
      <c r="A1102" s="49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111"/>
      <c r="O1102" s="111"/>
      <c r="P1102" s="111"/>
      <c r="Q1102" s="111"/>
      <c r="R1102" s="111"/>
      <c r="S1102" s="111"/>
      <c r="T1102" s="111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1"/>
      <c r="AF1102" s="111"/>
      <c r="AG1102" s="111"/>
      <c r="AH1102" s="111"/>
      <c r="AI1102" s="111"/>
      <c r="AJ1102" s="111"/>
      <c r="AK1102" s="111"/>
      <c r="AL1102" s="111"/>
      <c r="AM1102" s="111"/>
      <c r="AN1102" s="111"/>
      <c r="AO1102" s="111"/>
      <c r="AP1102" s="111"/>
      <c r="AQ1102" s="111"/>
      <c r="AR1102" s="111"/>
      <c r="AS1102" s="111"/>
      <c r="AT1102" s="111"/>
      <c r="AU1102" s="111"/>
      <c r="AV1102" s="50"/>
      <c r="AW1102" s="50"/>
      <c r="AX1102" s="50"/>
      <c r="AY1102" s="50"/>
      <c r="AZ1102" s="50"/>
      <c r="BA1102" s="50"/>
      <c r="BB1102" s="50"/>
      <c r="BC1102" s="50"/>
      <c r="BD1102" s="50"/>
      <c r="BE1102" s="50"/>
      <c r="BF1102" s="50"/>
      <c r="BG1102" s="50"/>
      <c r="BH1102" s="50"/>
      <c r="BI1102" s="50"/>
      <c r="BJ1102" s="50"/>
      <c r="BK1102" s="50"/>
      <c r="BL1102" s="50"/>
      <c r="BM1102" s="50"/>
      <c r="BN1102" s="50"/>
      <c r="BO1102" s="50"/>
      <c r="BP1102" s="50"/>
      <c r="BQ1102" s="50"/>
      <c r="BR1102" s="50"/>
      <c r="BS1102" s="111"/>
      <c r="BT1102" s="50"/>
      <c r="BU1102" s="50"/>
      <c r="BV1102" s="50"/>
      <c r="BW1102" s="50"/>
      <c r="BX1102" s="50"/>
      <c r="BY1102" s="50"/>
      <c r="BZ1102" s="50"/>
      <c r="CA1102" s="50"/>
      <c r="CB1102" s="50"/>
      <c r="CC1102" s="50"/>
      <c r="CD1102" s="50"/>
      <c r="CE1102" s="50"/>
      <c r="CF1102" s="50"/>
      <c r="CG1102" s="50"/>
      <c r="CH1102" s="50"/>
      <c r="CI1102" s="50"/>
      <c r="CJ1102" s="50"/>
      <c r="CK1102" s="50"/>
      <c r="CL1102" s="50"/>
      <c r="CM1102" s="50"/>
      <c r="CN1102" s="50"/>
      <c r="CO1102" s="50"/>
      <c r="CP1102" s="50"/>
      <c r="CQ1102" s="50"/>
      <c r="CR1102" s="50"/>
      <c r="CS1102" s="50"/>
    </row>
    <row r="1103" spans="1:97" ht="15" thickBot="1">
      <c r="A1103" s="49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111"/>
      <c r="O1103" s="111"/>
      <c r="P1103" s="111"/>
      <c r="Q1103" s="111"/>
      <c r="R1103" s="111"/>
      <c r="S1103" s="111"/>
      <c r="T1103" s="111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1"/>
      <c r="AF1103" s="111"/>
      <c r="AG1103" s="111"/>
      <c r="AH1103" s="111"/>
      <c r="AI1103" s="111"/>
      <c r="AJ1103" s="111"/>
      <c r="AK1103" s="111"/>
      <c r="AL1103" s="111"/>
      <c r="AM1103" s="111"/>
      <c r="AN1103" s="111"/>
      <c r="AO1103" s="111"/>
      <c r="AP1103" s="111"/>
      <c r="AQ1103" s="111"/>
      <c r="AR1103" s="111"/>
      <c r="AS1103" s="111"/>
      <c r="AT1103" s="111"/>
      <c r="AU1103" s="111"/>
      <c r="AV1103" s="50"/>
      <c r="AW1103" s="50"/>
      <c r="AX1103" s="50"/>
      <c r="AY1103" s="50"/>
      <c r="AZ1103" s="50"/>
      <c r="BA1103" s="50"/>
      <c r="BB1103" s="50"/>
      <c r="BC1103" s="50"/>
      <c r="BD1103" s="50"/>
      <c r="BE1103" s="50"/>
      <c r="BF1103" s="50"/>
      <c r="BG1103" s="50"/>
      <c r="BH1103" s="50"/>
      <c r="BI1103" s="50"/>
      <c r="BJ1103" s="50"/>
      <c r="BK1103" s="50"/>
      <c r="BL1103" s="50"/>
      <c r="BM1103" s="50"/>
      <c r="BN1103" s="50"/>
      <c r="BO1103" s="50"/>
      <c r="BP1103" s="50"/>
      <c r="BQ1103" s="50"/>
      <c r="BR1103" s="50"/>
      <c r="BS1103" s="111"/>
      <c r="BT1103" s="50"/>
      <c r="BU1103" s="50"/>
      <c r="BV1103" s="50"/>
      <c r="BW1103" s="50"/>
      <c r="BX1103" s="50"/>
      <c r="BY1103" s="50"/>
      <c r="BZ1103" s="50"/>
      <c r="CA1103" s="50"/>
      <c r="CB1103" s="50"/>
      <c r="CC1103" s="50"/>
      <c r="CD1103" s="50"/>
      <c r="CE1103" s="50"/>
      <c r="CF1103" s="50"/>
      <c r="CG1103" s="50"/>
      <c r="CH1103" s="50"/>
      <c r="CI1103" s="50"/>
      <c r="CJ1103" s="50"/>
      <c r="CK1103" s="50"/>
      <c r="CL1103" s="50"/>
      <c r="CM1103" s="50"/>
      <c r="CN1103" s="50"/>
      <c r="CO1103" s="50"/>
      <c r="CP1103" s="50"/>
      <c r="CQ1103" s="50"/>
      <c r="CR1103" s="50"/>
      <c r="CS1103" s="50"/>
    </row>
    <row r="1104" spans="1:97" ht="15" thickBot="1">
      <c r="A1104" s="49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111"/>
      <c r="O1104" s="111"/>
      <c r="P1104" s="111"/>
      <c r="Q1104" s="111"/>
      <c r="R1104" s="111"/>
      <c r="S1104" s="111"/>
      <c r="T1104" s="111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1"/>
      <c r="AF1104" s="111"/>
      <c r="AG1104" s="111"/>
      <c r="AH1104" s="111"/>
      <c r="AI1104" s="111"/>
      <c r="AJ1104" s="111"/>
      <c r="AK1104" s="111"/>
      <c r="AL1104" s="111"/>
      <c r="AM1104" s="111"/>
      <c r="AN1104" s="111"/>
      <c r="AO1104" s="111"/>
      <c r="AP1104" s="111"/>
      <c r="AQ1104" s="111"/>
      <c r="AR1104" s="111"/>
      <c r="AS1104" s="111"/>
      <c r="AT1104" s="111"/>
      <c r="AU1104" s="111"/>
      <c r="AV1104" s="50"/>
      <c r="AW1104" s="50"/>
      <c r="AX1104" s="50"/>
      <c r="AY1104" s="50"/>
      <c r="AZ1104" s="50"/>
      <c r="BA1104" s="50"/>
      <c r="BB1104" s="50"/>
      <c r="BC1104" s="50"/>
      <c r="BD1104" s="50"/>
      <c r="BE1104" s="50"/>
      <c r="BF1104" s="50"/>
      <c r="BG1104" s="50"/>
      <c r="BH1104" s="50"/>
      <c r="BI1104" s="50"/>
      <c r="BJ1104" s="50"/>
      <c r="BK1104" s="50"/>
      <c r="BL1104" s="50"/>
      <c r="BM1104" s="50"/>
      <c r="BN1104" s="50"/>
      <c r="BO1104" s="50"/>
      <c r="BP1104" s="50"/>
      <c r="BQ1104" s="50"/>
      <c r="BR1104" s="50"/>
      <c r="BS1104" s="111"/>
      <c r="BT1104" s="50"/>
      <c r="BU1104" s="50"/>
      <c r="BV1104" s="50"/>
      <c r="BW1104" s="50"/>
      <c r="BX1104" s="50"/>
      <c r="BY1104" s="50"/>
      <c r="BZ1104" s="50"/>
      <c r="CA1104" s="50"/>
      <c r="CB1104" s="50"/>
      <c r="CC1104" s="50"/>
      <c r="CD1104" s="50"/>
      <c r="CE1104" s="50"/>
      <c r="CF1104" s="50"/>
      <c r="CG1104" s="50"/>
      <c r="CH1104" s="50"/>
      <c r="CI1104" s="50"/>
      <c r="CJ1104" s="50"/>
      <c r="CK1104" s="50"/>
      <c r="CL1104" s="50"/>
      <c r="CM1104" s="50"/>
      <c r="CN1104" s="50"/>
      <c r="CO1104" s="50"/>
      <c r="CP1104" s="50"/>
      <c r="CQ1104" s="50"/>
      <c r="CR1104" s="50"/>
      <c r="CS1104" s="50"/>
    </row>
    <row r="1105" spans="1:97" ht="15" thickBot="1">
      <c r="A1105" s="49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111"/>
      <c r="O1105" s="111"/>
      <c r="P1105" s="111"/>
      <c r="Q1105" s="111"/>
      <c r="R1105" s="111"/>
      <c r="S1105" s="111"/>
      <c r="T1105" s="111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1"/>
      <c r="AF1105" s="111"/>
      <c r="AG1105" s="111"/>
      <c r="AH1105" s="111"/>
      <c r="AI1105" s="111"/>
      <c r="AJ1105" s="111"/>
      <c r="AK1105" s="111"/>
      <c r="AL1105" s="111"/>
      <c r="AM1105" s="111"/>
      <c r="AN1105" s="111"/>
      <c r="AO1105" s="111"/>
      <c r="AP1105" s="111"/>
      <c r="AQ1105" s="111"/>
      <c r="AR1105" s="111"/>
      <c r="AS1105" s="111"/>
      <c r="AT1105" s="111"/>
      <c r="AU1105" s="111"/>
      <c r="AV1105" s="50"/>
      <c r="AW1105" s="50"/>
      <c r="AX1105" s="50"/>
      <c r="AY1105" s="50"/>
      <c r="AZ1105" s="50"/>
      <c r="BA1105" s="50"/>
      <c r="BB1105" s="50"/>
      <c r="BC1105" s="50"/>
      <c r="BD1105" s="50"/>
      <c r="BE1105" s="50"/>
      <c r="BF1105" s="50"/>
      <c r="BG1105" s="50"/>
      <c r="BH1105" s="50"/>
      <c r="BI1105" s="50"/>
      <c r="BJ1105" s="50"/>
      <c r="BK1105" s="50"/>
      <c r="BL1105" s="50"/>
      <c r="BM1105" s="50"/>
      <c r="BN1105" s="50"/>
      <c r="BO1105" s="50"/>
      <c r="BP1105" s="50"/>
      <c r="BQ1105" s="50"/>
      <c r="BR1105" s="50"/>
      <c r="BS1105" s="111"/>
      <c r="BT1105" s="50"/>
      <c r="BU1105" s="50"/>
      <c r="BV1105" s="50"/>
      <c r="BW1105" s="50"/>
      <c r="BX1105" s="50"/>
      <c r="BY1105" s="50"/>
      <c r="BZ1105" s="50"/>
      <c r="CA1105" s="50"/>
      <c r="CB1105" s="50"/>
      <c r="CC1105" s="50"/>
      <c r="CD1105" s="50"/>
      <c r="CE1105" s="50"/>
      <c r="CF1105" s="50"/>
      <c r="CG1105" s="50"/>
      <c r="CH1105" s="50"/>
      <c r="CI1105" s="50"/>
      <c r="CJ1105" s="50"/>
      <c r="CK1105" s="50"/>
      <c r="CL1105" s="50"/>
      <c r="CM1105" s="50"/>
      <c r="CN1105" s="50"/>
      <c r="CO1105" s="50"/>
      <c r="CP1105" s="50"/>
      <c r="CQ1105" s="50"/>
      <c r="CR1105" s="50"/>
      <c r="CS1105" s="50"/>
    </row>
    <row r="1106" spans="1:97" ht="15" thickBot="1">
      <c r="A1106" s="49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111"/>
      <c r="O1106" s="111"/>
      <c r="P1106" s="111"/>
      <c r="Q1106" s="111"/>
      <c r="R1106" s="111"/>
      <c r="S1106" s="111"/>
      <c r="T1106" s="111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1"/>
      <c r="AF1106" s="111"/>
      <c r="AG1106" s="111"/>
      <c r="AH1106" s="111"/>
      <c r="AI1106" s="111"/>
      <c r="AJ1106" s="111"/>
      <c r="AK1106" s="111"/>
      <c r="AL1106" s="111"/>
      <c r="AM1106" s="111"/>
      <c r="AN1106" s="111"/>
      <c r="AO1106" s="111"/>
      <c r="AP1106" s="111"/>
      <c r="AQ1106" s="111"/>
      <c r="AR1106" s="111"/>
      <c r="AS1106" s="111"/>
      <c r="AT1106" s="111"/>
      <c r="AU1106" s="111"/>
      <c r="AV1106" s="50"/>
      <c r="AW1106" s="50"/>
      <c r="AX1106" s="50"/>
      <c r="AY1106" s="50"/>
      <c r="AZ1106" s="50"/>
      <c r="BA1106" s="50"/>
      <c r="BB1106" s="50"/>
      <c r="BC1106" s="50"/>
      <c r="BD1106" s="50"/>
      <c r="BE1106" s="50"/>
      <c r="BF1106" s="50"/>
      <c r="BG1106" s="50"/>
      <c r="BH1106" s="50"/>
      <c r="BI1106" s="50"/>
      <c r="BJ1106" s="50"/>
      <c r="BK1106" s="50"/>
      <c r="BL1106" s="50"/>
      <c r="BM1106" s="50"/>
      <c r="BN1106" s="50"/>
      <c r="BO1106" s="50"/>
      <c r="BP1106" s="50"/>
      <c r="BQ1106" s="50"/>
      <c r="BR1106" s="50"/>
      <c r="BS1106" s="111"/>
      <c r="BT1106" s="50"/>
      <c r="BU1106" s="50"/>
      <c r="BV1106" s="50"/>
      <c r="BW1106" s="50"/>
      <c r="BX1106" s="50"/>
      <c r="BY1106" s="50"/>
      <c r="BZ1106" s="50"/>
      <c r="CA1106" s="50"/>
      <c r="CB1106" s="50"/>
      <c r="CC1106" s="50"/>
      <c r="CD1106" s="50"/>
      <c r="CE1106" s="50"/>
      <c r="CF1106" s="50"/>
      <c r="CG1106" s="50"/>
      <c r="CH1106" s="50"/>
      <c r="CI1106" s="50"/>
      <c r="CJ1106" s="50"/>
      <c r="CK1106" s="50"/>
      <c r="CL1106" s="50"/>
      <c r="CM1106" s="50"/>
      <c r="CN1106" s="50"/>
      <c r="CO1106" s="50"/>
      <c r="CP1106" s="50"/>
      <c r="CQ1106" s="50"/>
      <c r="CR1106" s="50"/>
      <c r="CS1106" s="50"/>
    </row>
    <row r="1107" spans="1:97" ht="15" thickBot="1">
      <c r="A1107" s="49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111"/>
      <c r="O1107" s="111"/>
      <c r="P1107" s="111"/>
      <c r="Q1107" s="111"/>
      <c r="R1107" s="111"/>
      <c r="S1107" s="111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1"/>
      <c r="AF1107" s="111"/>
      <c r="AG1107" s="111"/>
      <c r="AH1107" s="111"/>
      <c r="AI1107" s="111"/>
      <c r="AJ1107" s="111"/>
      <c r="AK1107" s="111"/>
      <c r="AL1107" s="111"/>
      <c r="AM1107" s="111"/>
      <c r="AN1107" s="111"/>
      <c r="AO1107" s="111"/>
      <c r="AP1107" s="111"/>
      <c r="AQ1107" s="111"/>
      <c r="AR1107" s="111"/>
      <c r="AS1107" s="111"/>
      <c r="AT1107" s="111"/>
      <c r="AU1107" s="111"/>
      <c r="AV1107" s="50"/>
      <c r="AW1107" s="50"/>
      <c r="AX1107" s="50"/>
      <c r="AY1107" s="50"/>
      <c r="AZ1107" s="50"/>
      <c r="BA1107" s="50"/>
      <c r="BB1107" s="50"/>
      <c r="BC1107" s="50"/>
      <c r="BD1107" s="50"/>
      <c r="BE1107" s="50"/>
      <c r="BF1107" s="50"/>
      <c r="BG1107" s="50"/>
      <c r="BH1107" s="50"/>
      <c r="BI1107" s="50"/>
      <c r="BJ1107" s="50"/>
      <c r="BK1107" s="50"/>
      <c r="BL1107" s="50"/>
      <c r="BM1107" s="50"/>
      <c r="BN1107" s="50"/>
      <c r="BO1107" s="50"/>
      <c r="BP1107" s="50"/>
      <c r="BQ1107" s="50"/>
      <c r="BR1107" s="50"/>
      <c r="BS1107" s="111"/>
      <c r="BT1107" s="50"/>
      <c r="BU1107" s="50"/>
      <c r="BV1107" s="50"/>
      <c r="BW1107" s="50"/>
      <c r="BX1107" s="50"/>
      <c r="BY1107" s="50"/>
      <c r="BZ1107" s="50"/>
      <c r="CA1107" s="50"/>
      <c r="CB1107" s="50"/>
      <c r="CC1107" s="50"/>
      <c r="CD1107" s="50"/>
      <c r="CE1107" s="50"/>
      <c r="CF1107" s="50"/>
      <c r="CG1107" s="50"/>
      <c r="CH1107" s="50"/>
      <c r="CI1107" s="50"/>
      <c r="CJ1107" s="50"/>
      <c r="CK1107" s="50"/>
      <c r="CL1107" s="50"/>
      <c r="CM1107" s="50"/>
      <c r="CN1107" s="50"/>
      <c r="CO1107" s="50"/>
      <c r="CP1107" s="50"/>
      <c r="CQ1107" s="50"/>
      <c r="CR1107" s="50"/>
      <c r="CS1107" s="50"/>
    </row>
    <row r="1108" spans="1:97" ht="15" thickBot="1">
      <c r="A1108" s="49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111"/>
      <c r="O1108" s="111"/>
      <c r="P1108" s="111"/>
      <c r="Q1108" s="111"/>
      <c r="R1108" s="111"/>
      <c r="S1108" s="111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1"/>
      <c r="AF1108" s="111"/>
      <c r="AG1108" s="111"/>
      <c r="AH1108" s="111"/>
      <c r="AI1108" s="111"/>
      <c r="AJ1108" s="111"/>
      <c r="AK1108" s="111"/>
      <c r="AL1108" s="111"/>
      <c r="AM1108" s="111"/>
      <c r="AN1108" s="111"/>
      <c r="AO1108" s="111"/>
      <c r="AP1108" s="111"/>
      <c r="AQ1108" s="111"/>
      <c r="AR1108" s="111"/>
      <c r="AS1108" s="111"/>
      <c r="AT1108" s="111"/>
      <c r="AU1108" s="111"/>
      <c r="AV1108" s="50"/>
      <c r="AW1108" s="50"/>
      <c r="AX1108" s="50"/>
      <c r="AY1108" s="50"/>
      <c r="AZ1108" s="50"/>
      <c r="BA1108" s="50"/>
      <c r="BB1108" s="50"/>
      <c r="BC1108" s="50"/>
      <c r="BD1108" s="50"/>
      <c r="BE1108" s="50"/>
      <c r="BF1108" s="50"/>
      <c r="BG1108" s="50"/>
      <c r="BH1108" s="50"/>
      <c r="BI1108" s="50"/>
      <c r="BJ1108" s="50"/>
      <c r="BK1108" s="50"/>
      <c r="BL1108" s="50"/>
      <c r="BM1108" s="50"/>
      <c r="BN1108" s="50"/>
      <c r="BO1108" s="50"/>
      <c r="BP1108" s="50"/>
      <c r="BQ1108" s="50"/>
      <c r="BR1108" s="50"/>
      <c r="BS1108" s="111"/>
      <c r="BT1108" s="50"/>
      <c r="BU1108" s="50"/>
      <c r="BV1108" s="50"/>
      <c r="BW1108" s="50"/>
      <c r="BX1108" s="50"/>
      <c r="BY1108" s="50"/>
      <c r="BZ1108" s="50"/>
      <c r="CA1108" s="50"/>
      <c r="CB1108" s="50"/>
      <c r="CC1108" s="50"/>
      <c r="CD1108" s="50"/>
      <c r="CE1108" s="50"/>
      <c r="CF1108" s="50"/>
      <c r="CG1108" s="50"/>
      <c r="CH1108" s="50"/>
      <c r="CI1108" s="50"/>
      <c r="CJ1108" s="50"/>
      <c r="CK1108" s="50"/>
      <c r="CL1108" s="50"/>
      <c r="CM1108" s="50"/>
      <c r="CN1108" s="50"/>
      <c r="CO1108" s="50"/>
      <c r="CP1108" s="50"/>
      <c r="CQ1108" s="50"/>
      <c r="CR1108" s="50"/>
      <c r="CS1108" s="50"/>
    </row>
    <row r="1109" spans="1:97" ht="15" thickBot="1">
      <c r="A1109" s="49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111"/>
      <c r="O1109" s="111"/>
      <c r="P1109" s="111"/>
      <c r="Q1109" s="111"/>
      <c r="R1109" s="111"/>
      <c r="S1109" s="111"/>
      <c r="T1109" s="111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1"/>
      <c r="AF1109" s="111"/>
      <c r="AG1109" s="111"/>
      <c r="AH1109" s="111"/>
      <c r="AI1109" s="111"/>
      <c r="AJ1109" s="111"/>
      <c r="AK1109" s="111"/>
      <c r="AL1109" s="111"/>
      <c r="AM1109" s="111"/>
      <c r="AN1109" s="111"/>
      <c r="AO1109" s="111"/>
      <c r="AP1109" s="111"/>
      <c r="AQ1109" s="111"/>
      <c r="AR1109" s="111"/>
      <c r="AS1109" s="111"/>
      <c r="AT1109" s="111"/>
      <c r="AU1109" s="111"/>
      <c r="AV1109" s="50"/>
      <c r="AW1109" s="50"/>
      <c r="AX1109" s="50"/>
      <c r="AY1109" s="50"/>
      <c r="AZ1109" s="50"/>
      <c r="BA1109" s="50"/>
      <c r="BB1109" s="50"/>
      <c r="BC1109" s="50"/>
      <c r="BD1109" s="50"/>
      <c r="BE1109" s="50"/>
      <c r="BF1109" s="50"/>
      <c r="BG1109" s="50"/>
      <c r="BH1109" s="50"/>
      <c r="BI1109" s="50"/>
      <c r="BJ1109" s="50"/>
      <c r="BK1109" s="50"/>
      <c r="BL1109" s="50"/>
      <c r="BM1109" s="50"/>
      <c r="BN1109" s="50"/>
      <c r="BO1109" s="50"/>
      <c r="BP1109" s="50"/>
      <c r="BQ1109" s="50"/>
      <c r="BR1109" s="50"/>
      <c r="BS1109" s="111"/>
      <c r="BT1109" s="50"/>
      <c r="BU1109" s="50"/>
      <c r="BV1109" s="50"/>
      <c r="BW1109" s="50"/>
      <c r="BX1109" s="50"/>
      <c r="BY1109" s="50"/>
      <c r="BZ1109" s="50"/>
      <c r="CA1109" s="50"/>
      <c r="CB1109" s="50"/>
      <c r="CC1109" s="50"/>
      <c r="CD1109" s="50"/>
      <c r="CE1109" s="50"/>
      <c r="CF1109" s="50"/>
      <c r="CG1109" s="50"/>
      <c r="CH1109" s="50"/>
      <c r="CI1109" s="50"/>
      <c r="CJ1109" s="50"/>
      <c r="CK1109" s="50"/>
      <c r="CL1109" s="50"/>
      <c r="CM1109" s="50"/>
      <c r="CN1109" s="50"/>
      <c r="CO1109" s="50"/>
      <c r="CP1109" s="50"/>
      <c r="CQ1109" s="50"/>
      <c r="CR1109" s="50"/>
      <c r="CS1109" s="50"/>
    </row>
    <row r="1110" spans="1:97" ht="15" thickBot="1">
      <c r="A1110" s="49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111"/>
      <c r="O1110" s="111"/>
      <c r="P1110" s="111"/>
      <c r="Q1110" s="111"/>
      <c r="R1110" s="111"/>
      <c r="S1110" s="111"/>
      <c r="T1110" s="111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1"/>
      <c r="AF1110" s="111"/>
      <c r="AG1110" s="111"/>
      <c r="AH1110" s="111"/>
      <c r="AI1110" s="111"/>
      <c r="AJ1110" s="111"/>
      <c r="AK1110" s="111"/>
      <c r="AL1110" s="111"/>
      <c r="AM1110" s="111"/>
      <c r="AN1110" s="111"/>
      <c r="AO1110" s="111"/>
      <c r="AP1110" s="111"/>
      <c r="AQ1110" s="111"/>
      <c r="AR1110" s="111"/>
      <c r="AS1110" s="111"/>
      <c r="AT1110" s="111"/>
      <c r="AU1110" s="111"/>
      <c r="AV1110" s="50"/>
      <c r="AW1110" s="50"/>
      <c r="AX1110" s="50"/>
      <c r="AY1110" s="50"/>
      <c r="AZ1110" s="50"/>
      <c r="BA1110" s="50"/>
      <c r="BB1110" s="50"/>
      <c r="BC1110" s="50"/>
      <c r="BD1110" s="50"/>
      <c r="BE1110" s="50"/>
      <c r="BF1110" s="50"/>
      <c r="BG1110" s="50"/>
      <c r="BH1110" s="50"/>
      <c r="BI1110" s="50"/>
      <c r="BJ1110" s="50"/>
      <c r="BK1110" s="50"/>
      <c r="BL1110" s="50"/>
      <c r="BM1110" s="50"/>
      <c r="BN1110" s="50"/>
      <c r="BO1110" s="50"/>
      <c r="BP1110" s="50"/>
      <c r="BQ1110" s="50"/>
      <c r="BR1110" s="50"/>
      <c r="BS1110" s="111"/>
      <c r="BT1110" s="50"/>
      <c r="BU1110" s="50"/>
      <c r="BV1110" s="50"/>
      <c r="BW1110" s="50"/>
      <c r="BX1110" s="50"/>
      <c r="BY1110" s="50"/>
      <c r="BZ1110" s="50"/>
      <c r="CA1110" s="50"/>
      <c r="CB1110" s="50"/>
      <c r="CC1110" s="50"/>
      <c r="CD1110" s="50"/>
      <c r="CE1110" s="50"/>
      <c r="CF1110" s="50"/>
      <c r="CG1110" s="50"/>
      <c r="CH1110" s="50"/>
      <c r="CI1110" s="50"/>
      <c r="CJ1110" s="50"/>
      <c r="CK1110" s="50"/>
      <c r="CL1110" s="50"/>
      <c r="CM1110" s="50"/>
      <c r="CN1110" s="50"/>
      <c r="CO1110" s="50"/>
      <c r="CP1110" s="50"/>
      <c r="CQ1110" s="50"/>
      <c r="CR1110" s="50"/>
      <c r="CS1110" s="50"/>
    </row>
    <row r="1111" spans="1:97" ht="15" thickBot="1">
      <c r="A1111" s="49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111"/>
      <c r="O1111" s="111"/>
      <c r="P1111" s="111"/>
      <c r="Q1111" s="111"/>
      <c r="R1111" s="111"/>
      <c r="S1111" s="111"/>
      <c r="T1111" s="111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1"/>
      <c r="AF1111" s="111"/>
      <c r="AG1111" s="111"/>
      <c r="AH1111" s="111"/>
      <c r="AI1111" s="111"/>
      <c r="AJ1111" s="111"/>
      <c r="AK1111" s="111"/>
      <c r="AL1111" s="111"/>
      <c r="AM1111" s="111"/>
      <c r="AN1111" s="111"/>
      <c r="AO1111" s="111"/>
      <c r="AP1111" s="111"/>
      <c r="AQ1111" s="111"/>
      <c r="AR1111" s="111"/>
      <c r="AS1111" s="111"/>
      <c r="AT1111" s="111"/>
      <c r="AU1111" s="111"/>
      <c r="AV1111" s="50"/>
      <c r="AW1111" s="50"/>
      <c r="AX1111" s="50"/>
      <c r="AY1111" s="50"/>
      <c r="AZ1111" s="50"/>
      <c r="BA1111" s="50"/>
      <c r="BB1111" s="50"/>
      <c r="BC1111" s="50"/>
      <c r="BD1111" s="50"/>
      <c r="BE1111" s="50"/>
      <c r="BF1111" s="50"/>
      <c r="BG1111" s="50"/>
      <c r="BH1111" s="50"/>
      <c r="BI1111" s="50"/>
      <c r="BJ1111" s="50"/>
      <c r="BK1111" s="50"/>
      <c r="BL1111" s="50"/>
      <c r="BM1111" s="50"/>
      <c r="BN1111" s="50"/>
      <c r="BO1111" s="50"/>
      <c r="BP1111" s="50"/>
      <c r="BQ1111" s="50"/>
      <c r="BR1111" s="50"/>
      <c r="BS1111" s="111"/>
      <c r="BT1111" s="50"/>
      <c r="BU1111" s="50"/>
      <c r="BV1111" s="50"/>
      <c r="BW1111" s="50"/>
      <c r="BX1111" s="50"/>
      <c r="BY1111" s="50"/>
      <c r="BZ1111" s="50"/>
      <c r="CA1111" s="50"/>
      <c r="CB1111" s="50"/>
      <c r="CC1111" s="50"/>
      <c r="CD1111" s="50"/>
      <c r="CE1111" s="50"/>
      <c r="CF1111" s="50"/>
      <c r="CG1111" s="50"/>
      <c r="CH1111" s="50"/>
      <c r="CI1111" s="50"/>
      <c r="CJ1111" s="50"/>
      <c r="CK1111" s="50"/>
      <c r="CL1111" s="50"/>
      <c r="CM1111" s="50"/>
      <c r="CN1111" s="50"/>
      <c r="CO1111" s="50"/>
      <c r="CP1111" s="50"/>
      <c r="CQ1111" s="50"/>
      <c r="CR1111" s="50"/>
      <c r="CS1111" s="50"/>
    </row>
    <row r="1112" spans="1:97" ht="15" thickBot="1">
      <c r="A1112" s="49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111"/>
      <c r="O1112" s="111"/>
      <c r="P1112" s="111"/>
      <c r="Q1112" s="111"/>
      <c r="R1112" s="111"/>
      <c r="S1112" s="111"/>
      <c r="T1112" s="111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1"/>
      <c r="AF1112" s="111"/>
      <c r="AG1112" s="111"/>
      <c r="AH1112" s="111"/>
      <c r="AI1112" s="111"/>
      <c r="AJ1112" s="111"/>
      <c r="AK1112" s="111"/>
      <c r="AL1112" s="111"/>
      <c r="AM1112" s="111"/>
      <c r="AN1112" s="111"/>
      <c r="AO1112" s="111"/>
      <c r="AP1112" s="111"/>
      <c r="AQ1112" s="111"/>
      <c r="AR1112" s="111"/>
      <c r="AS1112" s="111"/>
      <c r="AT1112" s="111"/>
      <c r="AU1112" s="111"/>
      <c r="AV1112" s="50"/>
      <c r="AW1112" s="50"/>
      <c r="AX1112" s="50"/>
      <c r="AY1112" s="50"/>
      <c r="AZ1112" s="50"/>
      <c r="BA1112" s="50"/>
      <c r="BB1112" s="50"/>
      <c r="BC1112" s="50"/>
      <c r="BD1112" s="50"/>
      <c r="BE1112" s="50"/>
      <c r="BF1112" s="50"/>
      <c r="BG1112" s="50"/>
      <c r="BH1112" s="50"/>
      <c r="BI1112" s="50"/>
      <c r="BJ1112" s="50"/>
      <c r="BK1112" s="50"/>
      <c r="BL1112" s="50"/>
      <c r="BM1112" s="50"/>
      <c r="BN1112" s="50"/>
      <c r="BO1112" s="50"/>
      <c r="BP1112" s="50"/>
      <c r="BQ1112" s="50"/>
      <c r="BR1112" s="50"/>
      <c r="BS1112" s="111"/>
      <c r="BT1112" s="50"/>
      <c r="BU1112" s="50"/>
      <c r="BV1112" s="50"/>
      <c r="BW1112" s="50"/>
      <c r="BX1112" s="50"/>
      <c r="BY1112" s="50"/>
      <c r="BZ1112" s="50"/>
      <c r="CA1112" s="50"/>
      <c r="CB1112" s="50"/>
      <c r="CC1112" s="50"/>
      <c r="CD1112" s="50"/>
      <c r="CE1112" s="50"/>
      <c r="CF1112" s="50"/>
      <c r="CG1112" s="50"/>
      <c r="CH1112" s="50"/>
      <c r="CI1112" s="50"/>
      <c r="CJ1112" s="50"/>
      <c r="CK1112" s="50"/>
      <c r="CL1112" s="50"/>
      <c r="CM1112" s="50"/>
      <c r="CN1112" s="50"/>
      <c r="CO1112" s="50"/>
      <c r="CP1112" s="50"/>
      <c r="CQ1112" s="50"/>
      <c r="CR1112" s="50"/>
      <c r="CS1112" s="50"/>
    </row>
    <row r="1113" spans="1:97" ht="15" thickBot="1">
      <c r="A1113" s="49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111"/>
      <c r="O1113" s="111"/>
      <c r="P1113" s="111"/>
      <c r="Q1113" s="111"/>
      <c r="R1113" s="111"/>
      <c r="S1113" s="111"/>
      <c r="T1113" s="111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1"/>
      <c r="AF1113" s="111"/>
      <c r="AG1113" s="111"/>
      <c r="AH1113" s="111"/>
      <c r="AI1113" s="111"/>
      <c r="AJ1113" s="111"/>
      <c r="AK1113" s="111"/>
      <c r="AL1113" s="111"/>
      <c r="AM1113" s="111"/>
      <c r="AN1113" s="111"/>
      <c r="AO1113" s="111"/>
      <c r="AP1113" s="111"/>
      <c r="AQ1113" s="111"/>
      <c r="AR1113" s="111"/>
      <c r="AS1113" s="111"/>
      <c r="AT1113" s="111"/>
      <c r="AU1113" s="111"/>
      <c r="AV1113" s="50"/>
      <c r="AW1113" s="50"/>
      <c r="AX1113" s="50"/>
      <c r="AY1113" s="50"/>
      <c r="AZ1113" s="50"/>
      <c r="BA1113" s="50"/>
      <c r="BB1113" s="50"/>
      <c r="BC1113" s="50"/>
      <c r="BD1113" s="50"/>
      <c r="BE1113" s="50"/>
      <c r="BF1113" s="50"/>
      <c r="BG1113" s="50"/>
      <c r="BH1113" s="50"/>
      <c r="BI1113" s="50"/>
      <c r="BJ1113" s="50"/>
      <c r="BK1113" s="50"/>
      <c r="BL1113" s="50"/>
      <c r="BM1113" s="50"/>
      <c r="BN1113" s="50"/>
      <c r="BO1113" s="50"/>
      <c r="BP1113" s="50"/>
      <c r="BQ1113" s="50"/>
      <c r="BR1113" s="50"/>
      <c r="BS1113" s="111"/>
      <c r="BT1113" s="50"/>
      <c r="BU1113" s="50"/>
      <c r="BV1113" s="50"/>
      <c r="BW1113" s="50"/>
      <c r="BX1113" s="50"/>
      <c r="BY1113" s="50"/>
      <c r="BZ1113" s="50"/>
      <c r="CA1113" s="50"/>
      <c r="CB1113" s="50"/>
      <c r="CC1113" s="50"/>
      <c r="CD1113" s="50"/>
      <c r="CE1113" s="50"/>
      <c r="CF1113" s="50"/>
      <c r="CG1113" s="50"/>
      <c r="CH1113" s="50"/>
      <c r="CI1113" s="50"/>
      <c r="CJ1113" s="50"/>
      <c r="CK1113" s="50"/>
      <c r="CL1113" s="50"/>
      <c r="CM1113" s="50"/>
      <c r="CN1113" s="50"/>
      <c r="CO1113" s="50"/>
      <c r="CP1113" s="50"/>
      <c r="CQ1113" s="50"/>
      <c r="CR1113" s="50"/>
      <c r="CS1113" s="50"/>
    </row>
    <row r="1114" spans="1:97" ht="15" thickBot="1">
      <c r="A1114" s="49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111"/>
      <c r="O1114" s="111"/>
      <c r="P1114" s="111"/>
      <c r="Q1114" s="111"/>
      <c r="R1114" s="111"/>
      <c r="S1114" s="111"/>
      <c r="T1114" s="111"/>
      <c r="U1114" s="111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1"/>
      <c r="AF1114" s="111"/>
      <c r="AG1114" s="111"/>
      <c r="AH1114" s="111"/>
      <c r="AI1114" s="111"/>
      <c r="AJ1114" s="111"/>
      <c r="AK1114" s="111"/>
      <c r="AL1114" s="111"/>
      <c r="AM1114" s="111"/>
      <c r="AN1114" s="111"/>
      <c r="AO1114" s="111"/>
      <c r="AP1114" s="111"/>
      <c r="AQ1114" s="111"/>
      <c r="AR1114" s="111"/>
      <c r="AS1114" s="111"/>
      <c r="AT1114" s="111"/>
      <c r="AU1114" s="111"/>
      <c r="AV1114" s="50"/>
      <c r="AW1114" s="50"/>
      <c r="AX1114" s="50"/>
      <c r="AY1114" s="50"/>
      <c r="AZ1114" s="50"/>
      <c r="BA1114" s="50"/>
      <c r="BB1114" s="50"/>
      <c r="BC1114" s="50"/>
      <c r="BD1114" s="50"/>
      <c r="BE1114" s="50"/>
      <c r="BF1114" s="50"/>
      <c r="BG1114" s="50"/>
      <c r="BH1114" s="50"/>
      <c r="BI1114" s="50"/>
      <c r="BJ1114" s="50"/>
      <c r="BK1114" s="50"/>
      <c r="BL1114" s="50"/>
      <c r="BM1114" s="50"/>
      <c r="BN1114" s="50"/>
      <c r="BO1114" s="50"/>
      <c r="BP1114" s="50"/>
      <c r="BQ1114" s="50"/>
      <c r="BR1114" s="50"/>
      <c r="BS1114" s="111"/>
      <c r="BT1114" s="50"/>
      <c r="BU1114" s="50"/>
      <c r="BV1114" s="50"/>
      <c r="BW1114" s="50"/>
      <c r="BX1114" s="50"/>
      <c r="BY1114" s="50"/>
      <c r="BZ1114" s="50"/>
      <c r="CA1114" s="50"/>
      <c r="CB1114" s="50"/>
      <c r="CC1114" s="50"/>
      <c r="CD1114" s="50"/>
      <c r="CE1114" s="50"/>
      <c r="CF1114" s="50"/>
      <c r="CG1114" s="50"/>
      <c r="CH1114" s="50"/>
      <c r="CI1114" s="50"/>
      <c r="CJ1114" s="50"/>
      <c r="CK1114" s="50"/>
      <c r="CL1114" s="50"/>
      <c r="CM1114" s="50"/>
      <c r="CN1114" s="50"/>
      <c r="CO1114" s="50"/>
      <c r="CP1114" s="50"/>
      <c r="CQ1114" s="50"/>
      <c r="CR1114" s="50"/>
      <c r="CS1114" s="50"/>
    </row>
    <row r="1115" spans="1:97" ht="15" thickBot="1">
      <c r="A1115" s="49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111"/>
      <c r="O1115" s="111"/>
      <c r="P1115" s="111"/>
      <c r="Q1115" s="111"/>
      <c r="R1115" s="111"/>
      <c r="S1115" s="111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1"/>
      <c r="AF1115" s="111"/>
      <c r="AG1115" s="111"/>
      <c r="AH1115" s="111"/>
      <c r="AI1115" s="111"/>
      <c r="AJ1115" s="111"/>
      <c r="AK1115" s="111"/>
      <c r="AL1115" s="111"/>
      <c r="AM1115" s="111"/>
      <c r="AN1115" s="111"/>
      <c r="AO1115" s="111"/>
      <c r="AP1115" s="111"/>
      <c r="AQ1115" s="111"/>
      <c r="AR1115" s="111"/>
      <c r="AS1115" s="111"/>
      <c r="AT1115" s="111"/>
      <c r="AU1115" s="111"/>
      <c r="AV1115" s="50"/>
      <c r="AW1115" s="50"/>
      <c r="AX1115" s="50"/>
      <c r="AY1115" s="50"/>
      <c r="AZ1115" s="50"/>
      <c r="BA1115" s="50"/>
      <c r="BB1115" s="50"/>
      <c r="BC1115" s="50"/>
      <c r="BD1115" s="50"/>
      <c r="BE1115" s="50"/>
      <c r="BF1115" s="50"/>
      <c r="BG1115" s="50"/>
      <c r="BH1115" s="50"/>
      <c r="BI1115" s="50"/>
      <c r="BJ1115" s="50"/>
      <c r="BK1115" s="50"/>
      <c r="BL1115" s="50"/>
      <c r="BM1115" s="50"/>
      <c r="BN1115" s="50"/>
      <c r="BO1115" s="50"/>
      <c r="BP1115" s="50"/>
      <c r="BQ1115" s="50"/>
      <c r="BR1115" s="50"/>
      <c r="BS1115" s="111"/>
      <c r="BT1115" s="50"/>
      <c r="BU1115" s="50"/>
      <c r="BV1115" s="50"/>
      <c r="BW1115" s="50"/>
      <c r="BX1115" s="50"/>
      <c r="BY1115" s="50"/>
      <c r="BZ1115" s="50"/>
      <c r="CA1115" s="50"/>
      <c r="CB1115" s="50"/>
      <c r="CC1115" s="50"/>
      <c r="CD1115" s="50"/>
      <c r="CE1115" s="50"/>
      <c r="CF1115" s="50"/>
      <c r="CG1115" s="50"/>
      <c r="CH1115" s="50"/>
      <c r="CI1115" s="50"/>
      <c r="CJ1115" s="50"/>
      <c r="CK1115" s="50"/>
      <c r="CL1115" s="50"/>
      <c r="CM1115" s="50"/>
      <c r="CN1115" s="50"/>
      <c r="CO1115" s="50"/>
      <c r="CP1115" s="50"/>
      <c r="CQ1115" s="50"/>
      <c r="CR1115" s="50"/>
      <c r="CS1115" s="50"/>
    </row>
    <row r="1116" spans="1:97" ht="15" thickBot="1">
      <c r="A1116" s="49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111"/>
      <c r="O1116" s="111"/>
      <c r="P1116" s="111"/>
      <c r="Q1116" s="111"/>
      <c r="R1116" s="111"/>
      <c r="S1116" s="111"/>
      <c r="T1116" s="111"/>
      <c r="U1116" s="111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1"/>
      <c r="AF1116" s="111"/>
      <c r="AG1116" s="111"/>
      <c r="AH1116" s="111"/>
      <c r="AI1116" s="111"/>
      <c r="AJ1116" s="111"/>
      <c r="AK1116" s="111"/>
      <c r="AL1116" s="111"/>
      <c r="AM1116" s="111"/>
      <c r="AN1116" s="111"/>
      <c r="AO1116" s="111"/>
      <c r="AP1116" s="111"/>
      <c r="AQ1116" s="111"/>
      <c r="AR1116" s="111"/>
      <c r="AS1116" s="111"/>
      <c r="AT1116" s="111"/>
      <c r="AU1116" s="111"/>
      <c r="AV1116" s="50"/>
      <c r="AW1116" s="50"/>
      <c r="AX1116" s="50"/>
      <c r="AY1116" s="50"/>
      <c r="AZ1116" s="50"/>
      <c r="BA1116" s="50"/>
      <c r="BB1116" s="50"/>
      <c r="BC1116" s="50"/>
      <c r="BD1116" s="50"/>
      <c r="BE1116" s="50"/>
      <c r="BF1116" s="50"/>
      <c r="BG1116" s="50"/>
      <c r="BH1116" s="50"/>
      <c r="BI1116" s="50"/>
      <c r="BJ1116" s="50"/>
      <c r="BK1116" s="50"/>
      <c r="BL1116" s="50"/>
      <c r="BM1116" s="50"/>
      <c r="BN1116" s="50"/>
      <c r="BO1116" s="50"/>
      <c r="BP1116" s="50"/>
      <c r="BQ1116" s="50"/>
      <c r="BR1116" s="50"/>
      <c r="BS1116" s="111"/>
      <c r="BT1116" s="50"/>
      <c r="BU1116" s="50"/>
      <c r="BV1116" s="50"/>
      <c r="BW1116" s="50"/>
      <c r="BX1116" s="50"/>
      <c r="BY1116" s="50"/>
      <c r="BZ1116" s="50"/>
      <c r="CA1116" s="50"/>
      <c r="CB1116" s="50"/>
      <c r="CC1116" s="50"/>
      <c r="CD1116" s="50"/>
      <c r="CE1116" s="50"/>
      <c r="CF1116" s="50"/>
      <c r="CG1116" s="50"/>
      <c r="CH1116" s="50"/>
      <c r="CI1116" s="50"/>
      <c r="CJ1116" s="50"/>
      <c r="CK1116" s="50"/>
      <c r="CL1116" s="50"/>
      <c r="CM1116" s="50"/>
      <c r="CN1116" s="50"/>
      <c r="CO1116" s="50"/>
      <c r="CP1116" s="50"/>
      <c r="CQ1116" s="50"/>
      <c r="CR1116" s="50"/>
      <c r="CS1116" s="50"/>
    </row>
    <row r="1117" spans="1:97" ht="15" thickBot="1">
      <c r="A1117" s="49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111"/>
      <c r="O1117" s="111"/>
      <c r="P1117" s="111"/>
      <c r="Q1117" s="111"/>
      <c r="R1117" s="111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1"/>
      <c r="AF1117" s="111"/>
      <c r="AG1117" s="111"/>
      <c r="AH1117" s="111"/>
      <c r="AI1117" s="111"/>
      <c r="AJ1117" s="111"/>
      <c r="AK1117" s="111"/>
      <c r="AL1117" s="111"/>
      <c r="AM1117" s="111"/>
      <c r="AN1117" s="111"/>
      <c r="AO1117" s="111"/>
      <c r="AP1117" s="111"/>
      <c r="AQ1117" s="111"/>
      <c r="AR1117" s="111"/>
      <c r="AS1117" s="111"/>
      <c r="AT1117" s="111"/>
      <c r="AU1117" s="111"/>
      <c r="AV1117" s="50"/>
      <c r="AW1117" s="50"/>
      <c r="AX1117" s="50"/>
      <c r="AY1117" s="50"/>
      <c r="AZ1117" s="50"/>
      <c r="BA1117" s="50"/>
      <c r="BB1117" s="50"/>
      <c r="BC1117" s="50"/>
      <c r="BD1117" s="50"/>
      <c r="BE1117" s="50"/>
      <c r="BF1117" s="50"/>
      <c r="BG1117" s="50"/>
      <c r="BH1117" s="50"/>
      <c r="BI1117" s="50"/>
      <c r="BJ1117" s="50"/>
      <c r="BK1117" s="50"/>
      <c r="BL1117" s="50"/>
      <c r="BM1117" s="50"/>
      <c r="BN1117" s="50"/>
      <c r="BO1117" s="50"/>
      <c r="BP1117" s="50"/>
      <c r="BQ1117" s="50"/>
      <c r="BR1117" s="50"/>
      <c r="BS1117" s="111"/>
      <c r="BT1117" s="50"/>
      <c r="BU1117" s="50"/>
      <c r="BV1117" s="50"/>
      <c r="BW1117" s="50"/>
      <c r="BX1117" s="50"/>
      <c r="BY1117" s="50"/>
      <c r="BZ1117" s="50"/>
      <c r="CA1117" s="50"/>
      <c r="CB1117" s="50"/>
      <c r="CC1117" s="50"/>
      <c r="CD1117" s="50"/>
      <c r="CE1117" s="50"/>
      <c r="CF1117" s="50"/>
      <c r="CG1117" s="50"/>
      <c r="CH1117" s="50"/>
      <c r="CI1117" s="50"/>
      <c r="CJ1117" s="50"/>
      <c r="CK1117" s="50"/>
      <c r="CL1117" s="50"/>
      <c r="CM1117" s="50"/>
      <c r="CN1117" s="50"/>
      <c r="CO1117" s="50"/>
      <c r="CP1117" s="50"/>
      <c r="CQ1117" s="50"/>
      <c r="CR1117" s="50"/>
      <c r="CS1117" s="50"/>
    </row>
    <row r="1118" spans="1:97" ht="15" thickBot="1">
      <c r="A1118" s="49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111"/>
      <c r="O1118" s="111"/>
      <c r="P1118" s="111"/>
      <c r="Q1118" s="111"/>
      <c r="R1118" s="111"/>
      <c r="S1118" s="111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1"/>
      <c r="AF1118" s="111"/>
      <c r="AG1118" s="111"/>
      <c r="AH1118" s="111"/>
      <c r="AI1118" s="111"/>
      <c r="AJ1118" s="111"/>
      <c r="AK1118" s="111"/>
      <c r="AL1118" s="111"/>
      <c r="AM1118" s="111"/>
      <c r="AN1118" s="111"/>
      <c r="AO1118" s="111"/>
      <c r="AP1118" s="111"/>
      <c r="AQ1118" s="111"/>
      <c r="AR1118" s="111"/>
      <c r="AS1118" s="111"/>
      <c r="AT1118" s="111"/>
      <c r="AU1118" s="111"/>
      <c r="AV1118" s="50"/>
      <c r="AW1118" s="50"/>
      <c r="AX1118" s="50"/>
      <c r="AY1118" s="50"/>
      <c r="AZ1118" s="50"/>
      <c r="BA1118" s="50"/>
      <c r="BB1118" s="50"/>
      <c r="BC1118" s="50"/>
      <c r="BD1118" s="50"/>
      <c r="BE1118" s="50"/>
      <c r="BF1118" s="50"/>
      <c r="BG1118" s="50"/>
      <c r="BH1118" s="50"/>
      <c r="BI1118" s="50"/>
      <c r="BJ1118" s="50"/>
      <c r="BK1118" s="50"/>
      <c r="BL1118" s="50"/>
      <c r="BM1118" s="50"/>
      <c r="BN1118" s="50"/>
      <c r="BO1118" s="50"/>
      <c r="BP1118" s="50"/>
      <c r="BQ1118" s="50"/>
      <c r="BR1118" s="50"/>
      <c r="BS1118" s="111"/>
      <c r="BT1118" s="50"/>
      <c r="BU1118" s="50"/>
      <c r="BV1118" s="50"/>
      <c r="BW1118" s="50"/>
      <c r="BX1118" s="50"/>
      <c r="BY1118" s="50"/>
      <c r="BZ1118" s="50"/>
      <c r="CA1118" s="50"/>
      <c r="CB1118" s="50"/>
      <c r="CC1118" s="50"/>
      <c r="CD1118" s="50"/>
      <c r="CE1118" s="50"/>
      <c r="CF1118" s="50"/>
      <c r="CG1118" s="50"/>
      <c r="CH1118" s="50"/>
      <c r="CI1118" s="50"/>
      <c r="CJ1118" s="50"/>
      <c r="CK1118" s="50"/>
      <c r="CL1118" s="50"/>
      <c r="CM1118" s="50"/>
      <c r="CN1118" s="50"/>
      <c r="CO1118" s="50"/>
      <c r="CP1118" s="50"/>
      <c r="CQ1118" s="50"/>
      <c r="CR1118" s="50"/>
      <c r="CS1118" s="50"/>
    </row>
    <row r="1119" spans="1:97" ht="15" thickBot="1">
      <c r="A1119" s="49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111"/>
      <c r="O1119" s="111"/>
      <c r="P1119" s="111"/>
      <c r="Q1119" s="111"/>
      <c r="R1119" s="111"/>
      <c r="S1119" s="111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1"/>
      <c r="AF1119" s="111"/>
      <c r="AG1119" s="111"/>
      <c r="AH1119" s="111"/>
      <c r="AI1119" s="111"/>
      <c r="AJ1119" s="111"/>
      <c r="AK1119" s="111"/>
      <c r="AL1119" s="111"/>
      <c r="AM1119" s="111"/>
      <c r="AN1119" s="111"/>
      <c r="AO1119" s="111"/>
      <c r="AP1119" s="111"/>
      <c r="AQ1119" s="111"/>
      <c r="AR1119" s="111"/>
      <c r="AS1119" s="111"/>
      <c r="AT1119" s="111"/>
      <c r="AU1119" s="111"/>
      <c r="AV1119" s="50"/>
      <c r="AW1119" s="50"/>
      <c r="AX1119" s="50"/>
      <c r="AY1119" s="50"/>
      <c r="AZ1119" s="50"/>
      <c r="BA1119" s="50"/>
      <c r="BB1119" s="50"/>
      <c r="BC1119" s="50"/>
      <c r="BD1119" s="50"/>
      <c r="BE1119" s="50"/>
      <c r="BF1119" s="50"/>
      <c r="BG1119" s="50"/>
      <c r="BH1119" s="50"/>
      <c r="BI1119" s="50"/>
      <c r="BJ1119" s="50"/>
      <c r="BK1119" s="50"/>
      <c r="BL1119" s="50"/>
      <c r="BM1119" s="50"/>
      <c r="BN1119" s="50"/>
      <c r="BO1119" s="50"/>
      <c r="BP1119" s="50"/>
      <c r="BQ1119" s="50"/>
      <c r="BR1119" s="50"/>
      <c r="BS1119" s="111"/>
      <c r="BT1119" s="50"/>
      <c r="BU1119" s="50"/>
      <c r="BV1119" s="50"/>
      <c r="BW1119" s="50"/>
      <c r="BX1119" s="50"/>
      <c r="BY1119" s="50"/>
      <c r="BZ1119" s="50"/>
      <c r="CA1119" s="50"/>
      <c r="CB1119" s="50"/>
      <c r="CC1119" s="50"/>
      <c r="CD1119" s="50"/>
      <c r="CE1119" s="50"/>
      <c r="CF1119" s="50"/>
      <c r="CG1119" s="50"/>
      <c r="CH1119" s="50"/>
      <c r="CI1119" s="50"/>
      <c r="CJ1119" s="50"/>
      <c r="CK1119" s="50"/>
      <c r="CL1119" s="50"/>
      <c r="CM1119" s="50"/>
      <c r="CN1119" s="50"/>
      <c r="CO1119" s="50"/>
      <c r="CP1119" s="50"/>
      <c r="CQ1119" s="50"/>
      <c r="CR1119" s="50"/>
      <c r="CS1119" s="50"/>
    </row>
    <row r="1120" spans="1:97" ht="15" thickBot="1">
      <c r="A1120" s="49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111"/>
      <c r="O1120" s="111"/>
      <c r="P1120" s="111"/>
      <c r="Q1120" s="111"/>
      <c r="R1120" s="111"/>
      <c r="S1120" s="111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1"/>
      <c r="AF1120" s="111"/>
      <c r="AG1120" s="111"/>
      <c r="AH1120" s="111"/>
      <c r="AI1120" s="111"/>
      <c r="AJ1120" s="111"/>
      <c r="AK1120" s="111"/>
      <c r="AL1120" s="111"/>
      <c r="AM1120" s="111"/>
      <c r="AN1120" s="111"/>
      <c r="AO1120" s="111"/>
      <c r="AP1120" s="111"/>
      <c r="AQ1120" s="111"/>
      <c r="AR1120" s="111"/>
      <c r="AS1120" s="111"/>
      <c r="AT1120" s="111"/>
      <c r="AU1120" s="111"/>
      <c r="AV1120" s="50"/>
      <c r="AW1120" s="50"/>
      <c r="AX1120" s="50"/>
      <c r="AY1120" s="50"/>
      <c r="AZ1120" s="50"/>
      <c r="BA1120" s="50"/>
      <c r="BB1120" s="50"/>
      <c r="BC1120" s="50"/>
      <c r="BD1120" s="50"/>
      <c r="BE1120" s="50"/>
      <c r="BF1120" s="50"/>
      <c r="BG1120" s="50"/>
      <c r="BH1120" s="50"/>
      <c r="BI1120" s="50"/>
      <c r="BJ1120" s="50"/>
      <c r="BK1120" s="50"/>
      <c r="BL1120" s="50"/>
      <c r="BM1120" s="50"/>
      <c r="BN1120" s="50"/>
      <c r="BO1120" s="50"/>
      <c r="BP1120" s="50"/>
      <c r="BQ1120" s="50"/>
      <c r="BR1120" s="50"/>
      <c r="BS1120" s="111"/>
      <c r="BT1120" s="50"/>
      <c r="BU1120" s="50"/>
      <c r="BV1120" s="50"/>
      <c r="BW1120" s="50"/>
      <c r="BX1120" s="50"/>
      <c r="BY1120" s="50"/>
      <c r="BZ1120" s="50"/>
      <c r="CA1120" s="50"/>
      <c r="CB1120" s="50"/>
      <c r="CC1120" s="50"/>
      <c r="CD1120" s="50"/>
      <c r="CE1120" s="50"/>
      <c r="CF1120" s="50"/>
      <c r="CG1120" s="50"/>
      <c r="CH1120" s="50"/>
      <c r="CI1120" s="50"/>
      <c r="CJ1120" s="50"/>
      <c r="CK1120" s="50"/>
      <c r="CL1120" s="50"/>
      <c r="CM1120" s="50"/>
      <c r="CN1120" s="50"/>
      <c r="CO1120" s="50"/>
      <c r="CP1120" s="50"/>
      <c r="CQ1120" s="50"/>
      <c r="CR1120" s="50"/>
      <c r="CS1120" s="50"/>
    </row>
    <row r="1121" spans="1:97" ht="15" thickBot="1">
      <c r="A1121" s="49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111"/>
      <c r="O1121" s="111"/>
      <c r="P1121" s="111"/>
      <c r="Q1121" s="111"/>
      <c r="R1121" s="111"/>
      <c r="S1121" s="111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1"/>
      <c r="AF1121" s="111"/>
      <c r="AG1121" s="111"/>
      <c r="AH1121" s="111"/>
      <c r="AI1121" s="111"/>
      <c r="AJ1121" s="111"/>
      <c r="AK1121" s="111"/>
      <c r="AL1121" s="111"/>
      <c r="AM1121" s="111"/>
      <c r="AN1121" s="111"/>
      <c r="AO1121" s="111"/>
      <c r="AP1121" s="111"/>
      <c r="AQ1121" s="111"/>
      <c r="AR1121" s="111"/>
      <c r="AS1121" s="111"/>
      <c r="AT1121" s="111"/>
      <c r="AU1121" s="111"/>
      <c r="AV1121" s="50"/>
      <c r="AW1121" s="50"/>
      <c r="AX1121" s="50"/>
      <c r="AY1121" s="50"/>
      <c r="AZ1121" s="50"/>
      <c r="BA1121" s="50"/>
      <c r="BB1121" s="50"/>
      <c r="BC1121" s="50"/>
      <c r="BD1121" s="50"/>
      <c r="BE1121" s="50"/>
      <c r="BF1121" s="50"/>
      <c r="BG1121" s="50"/>
      <c r="BH1121" s="50"/>
      <c r="BI1121" s="50"/>
      <c r="BJ1121" s="50"/>
      <c r="BK1121" s="50"/>
      <c r="BL1121" s="50"/>
      <c r="BM1121" s="50"/>
      <c r="BN1121" s="50"/>
      <c r="BO1121" s="50"/>
      <c r="BP1121" s="50"/>
      <c r="BQ1121" s="50"/>
      <c r="BR1121" s="50"/>
      <c r="BS1121" s="111"/>
      <c r="BT1121" s="50"/>
      <c r="BU1121" s="50"/>
      <c r="BV1121" s="50"/>
      <c r="BW1121" s="50"/>
      <c r="BX1121" s="50"/>
      <c r="BY1121" s="50"/>
      <c r="BZ1121" s="50"/>
      <c r="CA1121" s="50"/>
      <c r="CB1121" s="50"/>
      <c r="CC1121" s="50"/>
      <c r="CD1121" s="50"/>
      <c r="CE1121" s="50"/>
      <c r="CF1121" s="50"/>
      <c r="CG1121" s="50"/>
      <c r="CH1121" s="50"/>
      <c r="CI1121" s="50"/>
      <c r="CJ1121" s="50"/>
      <c r="CK1121" s="50"/>
      <c r="CL1121" s="50"/>
      <c r="CM1121" s="50"/>
      <c r="CN1121" s="50"/>
      <c r="CO1121" s="50"/>
      <c r="CP1121" s="50"/>
      <c r="CQ1121" s="50"/>
      <c r="CR1121" s="50"/>
      <c r="CS1121" s="50"/>
    </row>
    <row r="1122" spans="1:97" ht="15" thickBot="1">
      <c r="A1122" s="49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111"/>
      <c r="O1122" s="111"/>
      <c r="P1122" s="111"/>
      <c r="Q1122" s="111"/>
      <c r="R1122" s="111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1"/>
      <c r="AF1122" s="111"/>
      <c r="AG1122" s="111"/>
      <c r="AH1122" s="111"/>
      <c r="AI1122" s="111"/>
      <c r="AJ1122" s="111"/>
      <c r="AK1122" s="111"/>
      <c r="AL1122" s="111"/>
      <c r="AM1122" s="111"/>
      <c r="AN1122" s="111"/>
      <c r="AO1122" s="111"/>
      <c r="AP1122" s="111"/>
      <c r="AQ1122" s="111"/>
      <c r="AR1122" s="111"/>
      <c r="AS1122" s="111"/>
      <c r="AT1122" s="111"/>
      <c r="AU1122" s="111"/>
      <c r="AV1122" s="50"/>
      <c r="AW1122" s="50"/>
      <c r="AX1122" s="50"/>
      <c r="AY1122" s="50"/>
      <c r="AZ1122" s="50"/>
      <c r="BA1122" s="50"/>
      <c r="BB1122" s="50"/>
      <c r="BC1122" s="50"/>
      <c r="BD1122" s="50"/>
      <c r="BE1122" s="50"/>
      <c r="BF1122" s="50"/>
      <c r="BG1122" s="50"/>
      <c r="BH1122" s="50"/>
      <c r="BI1122" s="50"/>
      <c r="BJ1122" s="50"/>
      <c r="BK1122" s="50"/>
      <c r="BL1122" s="50"/>
      <c r="BM1122" s="50"/>
      <c r="BN1122" s="50"/>
      <c r="BO1122" s="50"/>
      <c r="BP1122" s="50"/>
      <c r="BQ1122" s="50"/>
      <c r="BR1122" s="50"/>
      <c r="BS1122" s="111"/>
      <c r="BT1122" s="50"/>
      <c r="BU1122" s="50"/>
      <c r="BV1122" s="50"/>
      <c r="BW1122" s="50"/>
      <c r="BX1122" s="50"/>
      <c r="BY1122" s="50"/>
      <c r="BZ1122" s="50"/>
      <c r="CA1122" s="50"/>
      <c r="CB1122" s="50"/>
      <c r="CC1122" s="50"/>
      <c r="CD1122" s="50"/>
      <c r="CE1122" s="50"/>
      <c r="CF1122" s="50"/>
      <c r="CG1122" s="50"/>
      <c r="CH1122" s="50"/>
      <c r="CI1122" s="50"/>
      <c r="CJ1122" s="50"/>
      <c r="CK1122" s="50"/>
      <c r="CL1122" s="50"/>
      <c r="CM1122" s="50"/>
      <c r="CN1122" s="50"/>
      <c r="CO1122" s="50"/>
      <c r="CP1122" s="50"/>
      <c r="CQ1122" s="50"/>
      <c r="CR1122" s="50"/>
      <c r="CS1122" s="50"/>
    </row>
    <row r="1123" spans="1:97" ht="15" thickBot="1">
      <c r="A1123" s="49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111"/>
      <c r="O1123" s="111"/>
      <c r="P1123" s="111"/>
      <c r="Q1123" s="111"/>
      <c r="R1123" s="111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1"/>
      <c r="AF1123" s="111"/>
      <c r="AG1123" s="111"/>
      <c r="AH1123" s="111"/>
      <c r="AI1123" s="111"/>
      <c r="AJ1123" s="111"/>
      <c r="AK1123" s="111"/>
      <c r="AL1123" s="111"/>
      <c r="AM1123" s="111"/>
      <c r="AN1123" s="111"/>
      <c r="AO1123" s="111"/>
      <c r="AP1123" s="111"/>
      <c r="AQ1123" s="111"/>
      <c r="AR1123" s="111"/>
      <c r="AS1123" s="111"/>
      <c r="AT1123" s="111"/>
      <c r="AU1123" s="111"/>
      <c r="AV1123" s="50"/>
      <c r="AW1123" s="50"/>
      <c r="AX1123" s="50"/>
      <c r="AY1123" s="50"/>
      <c r="AZ1123" s="50"/>
      <c r="BA1123" s="50"/>
      <c r="BB1123" s="50"/>
      <c r="BC1123" s="50"/>
      <c r="BD1123" s="50"/>
      <c r="BE1123" s="50"/>
      <c r="BF1123" s="50"/>
      <c r="BG1123" s="50"/>
      <c r="BH1123" s="50"/>
      <c r="BI1123" s="50"/>
      <c r="BJ1123" s="50"/>
      <c r="BK1123" s="50"/>
      <c r="BL1123" s="50"/>
      <c r="BM1123" s="50"/>
      <c r="BN1123" s="50"/>
      <c r="BO1123" s="50"/>
      <c r="BP1123" s="50"/>
      <c r="BQ1123" s="50"/>
      <c r="BR1123" s="50"/>
      <c r="BS1123" s="111"/>
      <c r="BT1123" s="50"/>
      <c r="BU1123" s="50"/>
      <c r="BV1123" s="50"/>
      <c r="BW1123" s="50"/>
      <c r="BX1123" s="50"/>
      <c r="BY1123" s="50"/>
      <c r="BZ1123" s="50"/>
      <c r="CA1123" s="50"/>
      <c r="CB1123" s="50"/>
      <c r="CC1123" s="50"/>
      <c r="CD1123" s="50"/>
      <c r="CE1123" s="50"/>
      <c r="CF1123" s="50"/>
      <c r="CG1123" s="50"/>
      <c r="CH1123" s="50"/>
      <c r="CI1123" s="50"/>
      <c r="CJ1123" s="50"/>
      <c r="CK1123" s="50"/>
      <c r="CL1123" s="50"/>
      <c r="CM1123" s="50"/>
      <c r="CN1123" s="50"/>
      <c r="CO1123" s="50"/>
      <c r="CP1123" s="50"/>
      <c r="CQ1123" s="50"/>
      <c r="CR1123" s="50"/>
      <c r="CS1123" s="50"/>
    </row>
    <row r="1124" spans="1:97" ht="15" thickBot="1">
      <c r="A1124" s="49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111"/>
      <c r="O1124" s="111"/>
      <c r="P1124" s="111"/>
      <c r="Q1124" s="111"/>
      <c r="R1124" s="111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1"/>
      <c r="AF1124" s="111"/>
      <c r="AG1124" s="111"/>
      <c r="AH1124" s="111"/>
      <c r="AI1124" s="111"/>
      <c r="AJ1124" s="111"/>
      <c r="AK1124" s="111"/>
      <c r="AL1124" s="111"/>
      <c r="AM1124" s="111"/>
      <c r="AN1124" s="111"/>
      <c r="AO1124" s="111"/>
      <c r="AP1124" s="111"/>
      <c r="AQ1124" s="111"/>
      <c r="AR1124" s="111"/>
      <c r="AS1124" s="111"/>
      <c r="AT1124" s="111"/>
      <c r="AU1124" s="111"/>
      <c r="AV1124" s="50"/>
      <c r="AW1124" s="50"/>
      <c r="AX1124" s="50"/>
      <c r="AY1124" s="50"/>
      <c r="AZ1124" s="50"/>
      <c r="BA1124" s="50"/>
      <c r="BB1124" s="50"/>
      <c r="BC1124" s="50"/>
      <c r="BD1124" s="50"/>
      <c r="BE1124" s="50"/>
      <c r="BF1124" s="50"/>
      <c r="BG1124" s="50"/>
      <c r="BH1124" s="50"/>
      <c r="BI1124" s="50"/>
      <c r="BJ1124" s="50"/>
      <c r="BK1124" s="50"/>
      <c r="BL1124" s="50"/>
      <c r="BM1124" s="50"/>
      <c r="BN1124" s="50"/>
      <c r="BO1124" s="50"/>
      <c r="BP1124" s="50"/>
      <c r="BQ1124" s="50"/>
      <c r="BR1124" s="50"/>
      <c r="BS1124" s="111"/>
      <c r="BT1124" s="50"/>
      <c r="BU1124" s="50"/>
      <c r="BV1124" s="50"/>
      <c r="BW1124" s="50"/>
      <c r="BX1124" s="50"/>
      <c r="BY1124" s="50"/>
      <c r="BZ1124" s="50"/>
      <c r="CA1124" s="50"/>
      <c r="CB1124" s="50"/>
      <c r="CC1124" s="50"/>
      <c r="CD1124" s="50"/>
      <c r="CE1124" s="50"/>
      <c r="CF1124" s="50"/>
      <c r="CG1124" s="50"/>
      <c r="CH1124" s="50"/>
      <c r="CI1124" s="50"/>
      <c r="CJ1124" s="50"/>
      <c r="CK1124" s="50"/>
      <c r="CL1124" s="50"/>
      <c r="CM1124" s="50"/>
      <c r="CN1124" s="50"/>
      <c r="CO1124" s="50"/>
      <c r="CP1124" s="50"/>
      <c r="CQ1124" s="50"/>
      <c r="CR1124" s="50"/>
      <c r="CS1124" s="50"/>
    </row>
    <row r="1125" spans="1:97" ht="15" thickBot="1">
      <c r="A1125" s="49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111"/>
      <c r="O1125" s="111"/>
      <c r="P1125" s="111"/>
      <c r="Q1125" s="111"/>
      <c r="R1125" s="111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1"/>
      <c r="AF1125" s="111"/>
      <c r="AG1125" s="111"/>
      <c r="AH1125" s="111"/>
      <c r="AI1125" s="111"/>
      <c r="AJ1125" s="111"/>
      <c r="AK1125" s="111"/>
      <c r="AL1125" s="111"/>
      <c r="AM1125" s="111"/>
      <c r="AN1125" s="111"/>
      <c r="AO1125" s="111"/>
      <c r="AP1125" s="111"/>
      <c r="AQ1125" s="111"/>
      <c r="AR1125" s="111"/>
      <c r="AS1125" s="111"/>
      <c r="AT1125" s="111"/>
      <c r="AU1125" s="111"/>
      <c r="AV1125" s="50"/>
      <c r="AW1125" s="50"/>
      <c r="AX1125" s="50"/>
      <c r="AY1125" s="50"/>
      <c r="AZ1125" s="50"/>
      <c r="BA1125" s="50"/>
      <c r="BB1125" s="50"/>
      <c r="BC1125" s="50"/>
      <c r="BD1125" s="50"/>
      <c r="BE1125" s="50"/>
      <c r="BF1125" s="50"/>
      <c r="BG1125" s="50"/>
      <c r="BH1125" s="50"/>
      <c r="BI1125" s="50"/>
      <c r="BJ1125" s="50"/>
      <c r="BK1125" s="50"/>
      <c r="BL1125" s="50"/>
      <c r="BM1125" s="50"/>
      <c r="BN1125" s="50"/>
      <c r="BO1125" s="50"/>
      <c r="BP1125" s="50"/>
      <c r="BQ1125" s="50"/>
      <c r="BR1125" s="50"/>
      <c r="BS1125" s="111"/>
      <c r="BT1125" s="50"/>
      <c r="BU1125" s="50"/>
      <c r="BV1125" s="50"/>
      <c r="BW1125" s="50"/>
      <c r="BX1125" s="50"/>
      <c r="BY1125" s="50"/>
      <c r="BZ1125" s="50"/>
      <c r="CA1125" s="50"/>
      <c r="CB1125" s="50"/>
      <c r="CC1125" s="50"/>
      <c r="CD1125" s="50"/>
      <c r="CE1125" s="50"/>
      <c r="CF1125" s="50"/>
      <c r="CG1125" s="50"/>
      <c r="CH1125" s="50"/>
      <c r="CI1125" s="50"/>
      <c r="CJ1125" s="50"/>
      <c r="CK1125" s="50"/>
      <c r="CL1125" s="50"/>
      <c r="CM1125" s="50"/>
      <c r="CN1125" s="50"/>
      <c r="CO1125" s="50"/>
      <c r="CP1125" s="50"/>
      <c r="CQ1125" s="50"/>
      <c r="CR1125" s="50"/>
      <c r="CS1125" s="50"/>
    </row>
    <row r="1126" spans="1:97" ht="15" thickBot="1">
      <c r="A1126" s="49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111"/>
      <c r="O1126" s="111"/>
      <c r="P1126" s="111"/>
      <c r="Q1126" s="111"/>
      <c r="R1126" s="111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1"/>
      <c r="AF1126" s="111"/>
      <c r="AG1126" s="111"/>
      <c r="AH1126" s="111"/>
      <c r="AI1126" s="111"/>
      <c r="AJ1126" s="111"/>
      <c r="AK1126" s="111"/>
      <c r="AL1126" s="111"/>
      <c r="AM1126" s="111"/>
      <c r="AN1126" s="111"/>
      <c r="AO1126" s="111"/>
      <c r="AP1126" s="111"/>
      <c r="AQ1126" s="111"/>
      <c r="AR1126" s="111"/>
      <c r="AS1126" s="111"/>
      <c r="AT1126" s="111"/>
      <c r="AU1126" s="111"/>
      <c r="AV1126" s="50"/>
      <c r="AW1126" s="50"/>
      <c r="AX1126" s="50"/>
      <c r="AY1126" s="50"/>
      <c r="AZ1126" s="50"/>
      <c r="BA1126" s="50"/>
      <c r="BB1126" s="50"/>
      <c r="BC1126" s="50"/>
      <c r="BD1126" s="50"/>
      <c r="BE1126" s="50"/>
      <c r="BF1126" s="50"/>
      <c r="BG1126" s="50"/>
      <c r="BH1126" s="50"/>
      <c r="BI1126" s="50"/>
      <c r="BJ1126" s="50"/>
      <c r="BK1126" s="50"/>
      <c r="BL1126" s="50"/>
      <c r="BM1126" s="50"/>
      <c r="BN1126" s="50"/>
      <c r="BO1126" s="50"/>
      <c r="BP1126" s="50"/>
      <c r="BQ1126" s="50"/>
      <c r="BR1126" s="50"/>
      <c r="BS1126" s="111"/>
      <c r="BT1126" s="50"/>
      <c r="BU1126" s="50"/>
      <c r="BV1126" s="50"/>
      <c r="BW1126" s="50"/>
      <c r="BX1126" s="50"/>
      <c r="BY1126" s="50"/>
      <c r="BZ1126" s="50"/>
      <c r="CA1126" s="50"/>
      <c r="CB1126" s="50"/>
      <c r="CC1126" s="50"/>
      <c r="CD1126" s="50"/>
      <c r="CE1126" s="50"/>
      <c r="CF1126" s="50"/>
      <c r="CG1126" s="50"/>
      <c r="CH1126" s="50"/>
      <c r="CI1126" s="50"/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</row>
    <row r="1127" spans="1:97" ht="15" thickBot="1">
      <c r="A1127" s="49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111"/>
      <c r="O1127" s="111"/>
      <c r="P1127" s="111"/>
      <c r="Q1127" s="111"/>
      <c r="R1127" s="111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1"/>
      <c r="AF1127" s="111"/>
      <c r="AG1127" s="111"/>
      <c r="AH1127" s="111"/>
      <c r="AI1127" s="111"/>
      <c r="AJ1127" s="111"/>
      <c r="AK1127" s="111"/>
      <c r="AL1127" s="111"/>
      <c r="AM1127" s="111"/>
      <c r="AN1127" s="111"/>
      <c r="AO1127" s="111"/>
      <c r="AP1127" s="111"/>
      <c r="AQ1127" s="111"/>
      <c r="AR1127" s="111"/>
      <c r="AS1127" s="111"/>
      <c r="AT1127" s="111"/>
      <c r="AU1127" s="111"/>
      <c r="AV1127" s="50"/>
      <c r="AW1127" s="50"/>
      <c r="AX1127" s="50"/>
      <c r="AY1127" s="50"/>
      <c r="AZ1127" s="50"/>
      <c r="BA1127" s="50"/>
      <c r="BB1127" s="50"/>
      <c r="BC1127" s="50"/>
      <c r="BD1127" s="50"/>
      <c r="BE1127" s="50"/>
      <c r="BF1127" s="50"/>
      <c r="BG1127" s="50"/>
      <c r="BH1127" s="50"/>
      <c r="BI1127" s="50"/>
      <c r="BJ1127" s="50"/>
      <c r="BK1127" s="50"/>
      <c r="BL1127" s="50"/>
      <c r="BM1127" s="50"/>
      <c r="BN1127" s="50"/>
      <c r="BO1127" s="50"/>
      <c r="BP1127" s="50"/>
      <c r="BQ1127" s="50"/>
      <c r="BR1127" s="50"/>
      <c r="BS1127" s="111"/>
      <c r="BT1127" s="50"/>
      <c r="BU1127" s="50"/>
      <c r="BV1127" s="50"/>
      <c r="BW1127" s="50"/>
      <c r="BX1127" s="50"/>
      <c r="BY1127" s="50"/>
      <c r="BZ1127" s="50"/>
      <c r="CA1127" s="50"/>
      <c r="CB1127" s="50"/>
      <c r="CC1127" s="50"/>
      <c r="CD1127" s="50"/>
      <c r="CE1127" s="50"/>
      <c r="CF1127" s="50"/>
      <c r="CG1127" s="50"/>
      <c r="CH1127" s="50"/>
      <c r="CI1127" s="50"/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</row>
    <row r="1128" spans="1:97" ht="15" thickBot="1">
      <c r="A1128" s="49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111"/>
      <c r="O1128" s="111"/>
      <c r="P1128" s="111"/>
      <c r="Q1128" s="111"/>
      <c r="R1128" s="111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1"/>
      <c r="AF1128" s="111"/>
      <c r="AG1128" s="111"/>
      <c r="AH1128" s="111"/>
      <c r="AI1128" s="111"/>
      <c r="AJ1128" s="111"/>
      <c r="AK1128" s="111"/>
      <c r="AL1128" s="111"/>
      <c r="AM1128" s="111"/>
      <c r="AN1128" s="111"/>
      <c r="AO1128" s="111"/>
      <c r="AP1128" s="111"/>
      <c r="AQ1128" s="111"/>
      <c r="AR1128" s="111"/>
      <c r="AS1128" s="111"/>
      <c r="AT1128" s="111"/>
      <c r="AU1128" s="111"/>
      <c r="AV1128" s="50"/>
      <c r="AW1128" s="50"/>
      <c r="AX1128" s="50"/>
      <c r="AY1128" s="50"/>
      <c r="AZ1128" s="50"/>
      <c r="BA1128" s="50"/>
      <c r="BB1128" s="50"/>
      <c r="BC1128" s="50"/>
      <c r="BD1128" s="50"/>
      <c r="BE1128" s="50"/>
      <c r="BF1128" s="50"/>
      <c r="BG1128" s="50"/>
      <c r="BH1128" s="50"/>
      <c r="BI1128" s="50"/>
      <c r="BJ1128" s="50"/>
      <c r="BK1128" s="50"/>
      <c r="BL1128" s="50"/>
      <c r="BM1128" s="50"/>
      <c r="BN1128" s="50"/>
      <c r="BO1128" s="50"/>
      <c r="BP1128" s="50"/>
      <c r="BQ1128" s="50"/>
      <c r="BR1128" s="50"/>
      <c r="BS1128" s="111"/>
      <c r="BT1128" s="50"/>
      <c r="BU1128" s="50"/>
      <c r="BV1128" s="50"/>
      <c r="BW1128" s="50"/>
      <c r="BX1128" s="50"/>
      <c r="BY1128" s="50"/>
      <c r="BZ1128" s="50"/>
      <c r="CA1128" s="50"/>
      <c r="CB1128" s="50"/>
      <c r="CC1128" s="50"/>
      <c r="CD1128" s="50"/>
      <c r="CE1128" s="50"/>
      <c r="CF1128" s="50"/>
      <c r="CG1128" s="50"/>
      <c r="CH1128" s="50"/>
      <c r="CI1128" s="50"/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</row>
    <row r="1129" spans="1:97" ht="15" thickBot="1">
      <c r="A1129" s="49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111"/>
      <c r="O1129" s="111"/>
      <c r="P1129" s="111"/>
      <c r="Q1129" s="111"/>
      <c r="R1129" s="111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1"/>
      <c r="AF1129" s="111"/>
      <c r="AG1129" s="111"/>
      <c r="AH1129" s="111"/>
      <c r="AI1129" s="111"/>
      <c r="AJ1129" s="111"/>
      <c r="AK1129" s="111"/>
      <c r="AL1129" s="111"/>
      <c r="AM1129" s="111"/>
      <c r="AN1129" s="111"/>
      <c r="AO1129" s="111"/>
      <c r="AP1129" s="111"/>
      <c r="AQ1129" s="111"/>
      <c r="AR1129" s="111"/>
      <c r="AS1129" s="111"/>
      <c r="AT1129" s="111"/>
      <c r="AU1129" s="111"/>
      <c r="AV1129" s="50"/>
      <c r="AW1129" s="50"/>
      <c r="AX1129" s="50"/>
      <c r="AY1129" s="50"/>
      <c r="AZ1129" s="50"/>
      <c r="BA1129" s="50"/>
      <c r="BB1129" s="50"/>
      <c r="BC1129" s="50"/>
      <c r="BD1129" s="50"/>
      <c r="BE1129" s="50"/>
      <c r="BF1129" s="50"/>
      <c r="BG1129" s="50"/>
      <c r="BH1129" s="50"/>
      <c r="BI1129" s="50"/>
      <c r="BJ1129" s="50"/>
      <c r="BK1129" s="50"/>
      <c r="BL1129" s="50"/>
      <c r="BM1129" s="50"/>
      <c r="BN1129" s="50"/>
      <c r="BO1129" s="50"/>
      <c r="BP1129" s="50"/>
      <c r="BQ1129" s="50"/>
      <c r="BR1129" s="50"/>
      <c r="BS1129" s="111"/>
      <c r="BT1129" s="50"/>
      <c r="BU1129" s="50"/>
      <c r="BV1129" s="50"/>
      <c r="BW1129" s="50"/>
      <c r="BX1129" s="50"/>
      <c r="BY1129" s="50"/>
      <c r="BZ1129" s="50"/>
      <c r="CA1129" s="50"/>
      <c r="CB1129" s="50"/>
      <c r="CC1129" s="50"/>
      <c r="CD1129" s="50"/>
      <c r="CE1129" s="50"/>
      <c r="CF1129" s="50"/>
      <c r="CG1129" s="50"/>
      <c r="CH1129" s="50"/>
      <c r="CI1129" s="50"/>
      <c r="CJ1129" s="50"/>
      <c r="CK1129" s="50"/>
      <c r="CL1129" s="50"/>
      <c r="CM1129" s="50"/>
      <c r="CN1129" s="50"/>
      <c r="CO1129" s="50"/>
      <c r="CP1129" s="50"/>
      <c r="CQ1129" s="50"/>
      <c r="CR1129" s="50"/>
      <c r="CS1129" s="50"/>
    </row>
    <row r="1130" spans="1:97" ht="15" thickBot="1">
      <c r="A1130" s="49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111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1"/>
      <c r="AF1130" s="111"/>
      <c r="AG1130" s="111"/>
      <c r="AH1130" s="111"/>
      <c r="AI1130" s="111"/>
      <c r="AJ1130" s="111"/>
      <c r="AK1130" s="111"/>
      <c r="AL1130" s="111"/>
      <c r="AM1130" s="111"/>
      <c r="AN1130" s="111"/>
      <c r="AO1130" s="111"/>
      <c r="AP1130" s="111"/>
      <c r="AQ1130" s="111"/>
      <c r="AR1130" s="111"/>
      <c r="AS1130" s="111"/>
      <c r="AT1130" s="111"/>
      <c r="AU1130" s="111"/>
      <c r="AV1130" s="50"/>
      <c r="AW1130" s="50"/>
      <c r="AX1130" s="50"/>
      <c r="AY1130" s="50"/>
      <c r="AZ1130" s="50"/>
      <c r="BA1130" s="50"/>
      <c r="BB1130" s="50"/>
      <c r="BC1130" s="50"/>
      <c r="BD1130" s="50"/>
      <c r="BE1130" s="50"/>
      <c r="BF1130" s="50"/>
      <c r="BG1130" s="50"/>
      <c r="BH1130" s="50"/>
      <c r="BI1130" s="50"/>
      <c r="BJ1130" s="50"/>
      <c r="BK1130" s="50"/>
      <c r="BL1130" s="50"/>
      <c r="BM1130" s="50"/>
      <c r="BN1130" s="50"/>
      <c r="BO1130" s="50"/>
      <c r="BP1130" s="50"/>
      <c r="BQ1130" s="50"/>
      <c r="BR1130" s="50"/>
      <c r="BS1130" s="111"/>
      <c r="BT1130" s="50"/>
      <c r="BU1130" s="50"/>
      <c r="BV1130" s="50"/>
      <c r="BW1130" s="50"/>
      <c r="BX1130" s="50"/>
      <c r="BY1130" s="50"/>
      <c r="BZ1130" s="50"/>
      <c r="CA1130" s="50"/>
      <c r="CB1130" s="50"/>
      <c r="CC1130" s="50"/>
      <c r="CD1130" s="50"/>
      <c r="CE1130" s="50"/>
      <c r="CF1130" s="50"/>
      <c r="CG1130" s="50"/>
      <c r="CH1130" s="50"/>
      <c r="CI1130" s="50"/>
      <c r="CJ1130" s="50"/>
      <c r="CK1130" s="50"/>
      <c r="CL1130" s="50"/>
      <c r="CM1130" s="50"/>
      <c r="CN1130" s="50"/>
      <c r="CO1130" s="50"/>
      <c r="CP1130" s="50"/>
      <c r="CQ1130" s="50"/>
      <c r="CR1130" s="50"/>
      <c r="CS1130" s="50"/>
    </row>
    <row r="1131" spans="1:97" ht="15" thickBot="1">
      <c r="A1131" s="49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111"/>
      <c r="O1131" s="111"/>
      <c r="P1131" s="111"/>
      <c r="Q1131" s="111"/>
      <c r="R1131" s="111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1"/>
      <c r="AF1131" s="111"/>
      <c r="AG1131" s="111"/>
      <c r="AH1131" s="111"/>
      <c r="AI1131" s="111"/>
      <c r="AJ1131" s="111"/>
      <c r="AK1131" s="111"/>
      <c r="AL1131" s="111"/>
      <c r="AM1131" s="111"/>
      <c r="AN1131" s="111"/>
      <c r="AO1131" s="111"/>
      <c r="AP1131" s="111"/>
      <c r="AQ1131" s="111"/>
      <c r="AR1131" s="111"/>
      <c r="AS1131" s="111"/>
      <c r="AT1131" s="111"/>
      <c r="AU1131" s="111"/>
      <c r="AV1131" s="50"/>
      <c r="AW1131" s="50"/>
      <c r="AX1131" s="50"/>
      <c r="AY1131" s="50"/>
      <c r="AZ1131" s="50"/>
      <c r="BA1131" s="50"/>
      <c r="BB1131" s="50"/>
      <c r="BC1131" s="50"/>
      <c r="BD1131" s="50"/>
      <c r="BE1131" s="50"/>
      <c r="BF1131" s="50"/>
      <c r="BG1131" s="50"/>
      <c r="BH1131" s="50"/>
      <c r="BI1131" s="50"/>
      <c r="BJ1131" s="50"/>
      <c r="BK1131" s="50"/>
      <c r="BL1131" s="50"/>
      <c r="BM1131" s="50"/>
      <c r="BN1131" s="50"/>
      <c r="BO1131" s="50"/>
      <c r="BP1131" s="50"/>
      <c r="BQ1131" s="50"/>
      <c r="BR1131" s="50"/>
      <c r="BS1131" s="111"/>
      <c r="BT1131" s="50"/>
      <c r="BU1131" s="50"/>
      <c r="BV1131" s="50"/>
      <c r="BW1131" s="50"/>
      <c r="BX1131" s="50"/>
      <c r="BY1131" s="50"/>
      <c r="BZ1131" s="50"/>
      <c r="CA1131" s="50"/>
      <c r="CB1131" s="50"/>
      <c r="CC1131" s="50"/>
      <c r="CD1131" s="50"/>
      <c r="CE1131" s="50"/>
      <c r="CF1131" s="50"/>
      <c r="CG1131" s="50"/>
      <c r="CH1131" s="50"/>
      <c r="CI1131" s="50"/>
      <c r="CJ1131" s="50"/>
      <c r="CK1131" s="50"/>
      <c r="CL1131" s="50"/>
      <c r="CM1131" s="50"/>
      <c r="CN1131" s="50"/>
      <c r="CO1131" s="50"/>
      <c r="CP1131" s="50"/>
      <c r="CQ1131" s="50"/>
      <c r="CR1131" s="50"/>
      <c r="CS1131" s="50"/>
    </row>
    <row r="1132" spans="1:97" ht="15" thickBot="1">
      <c r="A1132" s="49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111"/>
      <c r="O1132" s="111"/>
      <c r="P1132" s="111"/>
      <c r="Q1132" s="111"/>
      <c r="R1132" s="111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1"/>
      <c r="AF1132" s="111"/>
      <c r="AG1132" s="111"/>
      <c r="AH1132" s="111"/>
      <c r="AI1132" s="111"/>
      <c r="AJ1132" s="111"/>
      <c r="AK1132" s="111"/>
      <c r="AL1132" s="111"/>
      <c r="AM1132" s="111"/>
      <c r="AN1132" s="111"/>
      <c r="AO1132" s="111"/>
      <c r="AP1132" s="111"/>
      <c r="AQ1132" s="111"/>
      <c r="AR1132" s="111"/>
      <c r="AS1132" s="111"/>
      <c r="AT1132" s="111"/>
      <c r="AU1132" s="111"/>
      <c r="AV1132" s="50"/>
      <c r="AW1132" s="50"/>
      <c r="AX1132" s="50"/>
      <c r="AY1132" s="50"/>
      <c r="AZ1132" s="50"/>
      <c r="BA1132" s="50"/>
      <c r="BB1132" s="50"/>
      <c r="BC1132" s="50"/>
      <c r="BD1132" s="50"/>
      <c r="BE1132" s="50"/>
      <c r="BF1132" s="50"/>
      <c r="BG1132" s="50"/>
      <c r="BH1132" s="50"/>
      <c r="BI1132" s="50"/>
      <c r="BJ1132" s="50"/>
      <c r="BK1132" s="50"/>
      <c r="BL1132" s="50"/>
      <c r="BM1132" s="50"/>
      <c r="BN1132" s="50"/>
      <c r="BO1132" s="50"/>
      <c r="BP1132" s="50"/>
      <c r="BQ1132" s="50"/>
      <c r="BR1132" s="50"/>
      <c r="BS1132" s="111"/>
      <c r="BT1132" s="50"/>
      <c r="BU1132" s="50"/>
      <c r="BV1132" s="50"/>
      <c r="BW1132" s="50"/>
      <c r="BX1132" s="50"/>
      <c r="BY1132" s="50"/>
      <c r="BZ1132" s="50"/>
      <c r="CA1132" s="50"/>
      <c r="CB1132" s="50"/>
      <c r="CC1132" s="50"/>
      <c r="CD1132" s="50"/>
      <c r="CE1132" s="50"/>
      <c r="CF1132" s="50"/>
      <c r="CG1132" s="50"/>
      <c r="CH1132" s="50"/>
      <c r="CI1132" s="50"/>
      <c r="CJ1132" s="50"/>
      <c r="CK1132" s="50"/>
      <c r="CL1132" s="50"/>
      <c r="CM1132" s="50"/>
      <c r="CN1132" s="50"/>
      <c r="CO1132" s="50"/>
      <c r="CP1132" s="50"/>
      <c r="CQ1132" s="50"/>
      <c r="CR1132" s="50"/>
      <c r="CS1132" s="50"/>
    </row>
    <row r="1133" spans="1:97" ht="15" thickBot="1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111"/>
      <c r="O1133" s="111"/>
      <c r="P1133" s="111"/>
      <c r="Q1133" s="111"/>
      <c r="R1133" s="111"/>
      <c r="S1133" s="111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1"/>
      <c r="AF1133" s="111"/>
      <c r="AG1133" s="111"/>
      <c r="AH1133" s="111"/>
      <c r="AI1133" s="111"/>
      <c r="AJ1133" s="111"/>
      <c r="AK1133" s="111"/>
      <c r="AL1133" s="111"/>
      <c r="AM1133" s="111"/>
      <c r="AN1133" s="111"/>
      <c r="AO1133" s="111"/>
      <c r="AP1133" s="111"/>
      <c r="AQ1133" s="111"/>
      <c r="AR1133" s="111"/>
      <c r="AS1133" s="111"/>
      <c r="AT1133" s="111"/>
      <c r="AU1133" s="111"/>
      <c r="AV1133" s="50"/>
      <c r="AW1133" s="50"/>
      <c r="AX1133" s="50"/>
      <c r="AY1133" s="50"/>
      <c r="AZ1133" s="50"/>
      <c r="BA1133" s="50"/>
      <c r="BB1133" s="50"/>
      <c r="BC1133" s="50"/>
      <c r="BD1133" s="50"/>
      <c r="BE1133" s="50"/>
      <c r="BF1133" s="50"/>
      <c r="BG1133" s="50"/>
      <c r="BH1133" s="50"/>
      <c r="BI1133" s="50"/>
      <c r="BJ1133" s="50"/>
      <c r="BK1133" s="50"/>
      <c r="BL1133" s="50"/>
      <c r="BM1133" s="50"/>
      <c r="BN1133" s="50"/>
      <c r="BO1133" s="50"/>
      <c r="BP1133" s="50"/>
      <c r="BQ1133" s="50"/>
      <c r="BR1133" s="50"/>
      <c r="BS1133" s="111"/>
      <c r="BT1133" s="50"/>
      <c r="BU1133" s="50"/>
      <c r="BV1133" s="50"/>
      <c r="BW1133" s="50"/>
      <c r="BX1133" s="50"/>
      <c r="BY1133" s="50"/>
      <c r="BZ1133" s="50"/>
      <c r="CA1133" s="50"/>
      <c r="CB1133" s="50"/>
      <c r="CC1133" s="50"/>
      <c r="CD1133" s="50"/>
      <c r="CE1133" s="50"/>
      <c r="CF1133" s="50"/>
      <c r="CG1133" s="50"/>
      <c r="CH1133" s="50"/>
      <c r="CI1133" s="50"/>
      <c r="CJ1133" s="50"/>
      <c r="CK1133" s="50"/>
      <c r="CL1133" s="50"/>
      <c r="CM1133" s="50"/>
      <c r="CN1133" s="50"/>
      <c r="CO1133" s="50"/>
      <c r="CP1133" s="50"/>
      <c r="CQ1133" s="50"/>
      <c r="CR1133" s="50"/>
      <c r="CS1133" s="50"/>
    </row>
    <row r="1134" spans="1:97" ht="15" thickBot="1">
      <c r="A1134" s="49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111"/>
      <c r="O1134" s="111"/>
      <c r="P1134" s="111"/>
      <c r="Q1134" s="111"/>
      <c r="R1134" s="111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1"/>
      <c r="AF1134" s="111"/>
      <c r="AG1134" s="111"/>
      <c r="AH1134" s="111"/>
      <c r="AI1134" s="111"/>
      <c r="AJ1134" s="111"/>
      <c r="AK1134" s="111"/>
      <c r="AL1134" s="111"/>
      <c r="AM1134" s="111"/>
      <c r="AN1134" s="111"/>
      <c r="AO1134" s="111"/>
      <c r="AP1134" s="111"/>
      <c r="AQ1134" s="111"/>
      <c r="AR1134" s="111"/>
      <c r="AS1134" s="111"/>
      <c r="AT1134" s="111"/>
      <c r="AU1134" s="111"/>
      <c r="AV1134" s="50"/>
      <c r="AW1134" s="50"/>
      <c r="AX1134" s="50"/>
      <c r="AY1134" s="50"/>
      <c r="AZ1134" s="50"/>
      <c r="BA1134" s="50"/>
      <c r="BB1134" s="50"/>
      <c r="BC1134" s="50"/>
      <c r="BD1134" s="50"/>
      <c r="BE1134" s="50"/>
      <c r="BF1134" s="50"/>
      <c r="BG1134" s="50"/>
      <c r="BH1134" s="50"/>
      <c r="BI1134" s="50"/>
      <c r="BJ1134" s="50"/>
      <c r="BK1134" s="50"/>
      <c r="BL1134" s="50"/>
      <c r="BM1134" s="50"/>
      <c r="BN1134" s="50"/>
      <c r="BO1134" s="50"/>
      <c r="BP1134" s="50"/>
      <c r="BQ1134" s="50"/>
      <c r="BR1134" s="50"/>
      <c r="BS1134" s="111"/>
      <c r="BT1134" s="50"/>
      <c r="BU1134" s="50"/>
      <c r="BV1134" s="50"/>
      <c r="BW1134" s="50"/>
      <c r="BX1134" s="50"/>
      <c r="BY1134" s="50"/>
      <c r="BZ1134" s="50"/>
      <c r="CA1134" s="50"/>
      <c r="CB1134" s="50"/>
      <c r="CC1134" s="50"/>
      <c r="CD1134" s="50"/>
      <c r="CE1134" s="50"/>
      <c r="CF1134" s="50"/>
      <c r="CG1134" s="50"/>
      <c r="CH1134" s="50"/>
      <c r="CI1134" s="50"/>
      <c r="CJ1134" s="50"/>
      <c r="CK1134" s="50"/>
      <c r="CL1134" s="50"/>
      <c r="CM1134" s="50"/>
      <c r="CN1134" s="50"/>
      <c r="CO1134" s="50"/>
      <c r="CP1134" s="50"/>
      <c r="CQ1134" s="50"/>
      <c r="CR1134" s="50"/>
      <c r="CS1134" s="50"/>
    </row>
    <row r="1135" spans="1:97" ht="15" thickBot="1">
      <c r="A1135" s="49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111"/>
      <c r="O1135" s="111"/>
      <c r="P1135" s="111"/>
      <c r="Q1135" s="111"/>
      <c r="R1135" s="111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1"/>
      <c r="AF1135" s="111"/>
      <c r="AG1135" s="111"/>
      <c r="AH1135" s="111"/>
      <c r="AI1135" s="111"/>
      <c r="AJ1135" s="111"/>
      <c r="AK1135" s="111"/>
      <c r="AL1135" s="111"/>
      <c r="AM1135" s="111"/>
      <c r="AN1135" s="111"/>
      <c r="AO1135" s="111"/>
      <c r="AP1135" s="111"/>
      <c r="AQ1135" s="111"/>
      <c r="AR1135" s="111"/>
      <c r="AS1135" s="111"/>
      <c r="AT1135" s="111"/>
      <c r="AU1135" s="111"/>
      <c r="AV1135" s="50"/>
      <c r="AW1135" s="50"/>
      <c r="AX1135" s="50"/>
      <c r="AY1135" s="50"/>
      <c r="AZ1135" s="50"/>
      <c r="BA1135" s="50"/>
      <c r="BB1135" s="50"/>
      <c r="BC1135" s="50"/>
      <c r="BD1135" s="50"/>
      <c r="BE1135" s="50"/>
      <c r="BF1135" s="50"/>
      <c r="BG1135" s="50"/>
      <c r="BH1135" s="50"/>
      <c r="BI1135" s="50"/>
      <c r="BJ1135" s="50"/>
      <c r="BK1135" s="50"/>
      <c r="BL1135" s="50"/>
      <c r="BM1135" s="50"/>
      <c r="BN1135" s="50"/>
      <c r="BO1135" s="50"/>
      <c r="BP1135" s="50"/>
      <c r="BQ1135" s="50"/>
      <c r="BR1135" s="50"/>
      <c r="BS1135" s="111"/>
      <c r="BT1135" s="50"/>
      <c r="BU1135" s="50"/>
      <c r="BV1135" s="50"/>
      <c r="BW1135" s="50"/>
      <c r="BX1135" s="50"/>
      <c r="BY1135" s="50"/>
      <c r="BZ1135" s="50"/>
      <c r="CA1135" s="50"/>
      <c r="CB1135" s="50"/>
      <c r="CC1135" s="50"/>
      <c r="CD1135" s="50"/>
      <c r="CE1135" s="50"/>
      <c r="CF1135" s="50"/>
      <c r="CG1135" s="50"/>
      <c r="CH1135" s="50"/>
      <c r="CI1135" s="50"/>
      <c r="CJ1135" s="50"/>
      <c r="CK1135" s="50"/>
      <c r="CL1135" s="50"/>
      <c r="CM1135" s="50"/>
      <c r="CN1135" s="50"/>
      <c r="CO1135" s="50"/>
      <c r="CP1135" s="50"/>
      <c r="CQ1135" s="50"/>
      <c r="CR1135" s="50"/>
      <c r="CS1135" s="50"/>
    </row>
    <row r="1136" spans="1:97" ht="15" thickBot="1">
      <c r="A1136" s="49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111"/>
      <c r="O1136" s="111"/>
      <c r="P1136" s="111"/>
      <c r="Q1136" s="111"/>
      <c r="R1136" s="111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1"/>
      <c r="AF1136" s="111"/>
      <c r="AG1136" s="111"/>
      <c r="AH1136" s="111"/>
      <c r="AI1136" s="111"/>
      <c r="AJ1136" s="111"/>
      <c r="AK1136" s="111"/>
      <c r="AL1136" s="111"/>
      <c r="AM1136" s="111"/>
      <c r="AN1136" s="111"/>
      <c r="AO1136" s="111"/>
      <c r="AP1136" s="111"/>
      <c r="AQ1136" s="111"/>
      <c r="AR1136" s="111"/>
      <c r="AS1136" s="111"/>
      <c r="AT1136" s="111"/>
      <c r="AU1136" s="111"/>
      <c r="AV1136" s="50"/>
      <c r="AW1136" s="50"/>
      <c r="AX1136" s="50"/>
      <c r="AY1136" s="50"/>
      <c r="AZ1136" s="50"/>
      <c r="BA1136" s="50"/>
      <c r="BB1136" s="50"/>
      <c r="BC1136" s="50"/>
      <c r="BD1136" s="50"/>
      <c r="BE1136" s="50"/>
      <c r="BF1136" s="50"/>
      <c r="BG1136" s="50"/>
      <c r="BH1136" s="50"/>
      <c r="BI1136" s="50"/>
      <c r="BJ1136" s="50"/>
      <c r="BK1136" s="50"/>
      <c r="BL1136" s="50"/>
      <c r="BM1136" s="50"/>
      <c r="BN1136" s="50"/>
      <c r="BO1136" s="50"/>
      <c r="BP1136" s="50"/>
      <c r="BQ1136" s="50"/>
      <c r="BR1136" s="50"/>
      <c r="BS1136" s="111"/>
      <c r="BT1136" s="50"/>
      <c r="BU1136" s="50"/>
      <c r="BV1136" s="50"/>
      <c r="BW1136" s="50"/>
      <c r="BX1136" s="50"/>
      <c r="BY1136" s="50"/>
      <c r="BZ1136" s="50"/>
      <c r="CA1136" s="50"/>
      <c r="CB1136" s="50"/>
      <c r="CC1136" s="50"/>
      <c r="CD1136" s="50"/>
      <c r="CE1136" s="50"/>
      <c r="CF1136" s="50"/>
      <c r="CG1136" s="50"/>
      <c r="CH1136" s="50"/>
      <c r="CI1136" s="50"/>
      <c r="CJ1136" s="50"/>
      <c r="CK1136" s="50"/>
      <c r="CL1136" s="50"/>
      <c r="CM1136" s="50"/>
      <c r="CN1136" s="50"/>
      <c r="CO1136" s="50"/>
      <c r="CP1136" s="50"/>
      <c r="CQ1136" s="50"/>
      <c r="CR1136" s="50"/>
      <c r="CS1136" s="50"/>
    </row>
    <row r="1137" spans="1:97" ht="15" thickBot="1">
      <c r="A1137" s="49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111"/>
      <c r="O1137" s="111"/>
      <c r="P1137" s="111"/>
      <c r="Q1137" s="111"/>
      <c r="R1137" s="111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1"/>
      <c r="AF1137" s="111"/>
      <c r="AG1137" s="111"/>
      <c r="AH1137" s="111"/>
      <c r="AI1137" s="111"/>
      <c r="AJ1137" s="111"/>
      <c r="AK1137" s="111"/>
      <c r="AL1137" s="111"/>
      <c r="AM1137" s="111"/>
      <c r="AN1137" s="111"/>
      <c r="AO1137" s="111"/>
      <c r="AP1137" s="111"/>
      <c r="AQ1137" s="111"/>
      <c r="AR1137" s="111"/>
      <c r="AS1137" s="111"/>
      <c r="AT1137" s="111"/>
      <c r="AU1137" s="111"/>
      <c r="AV1137" s="50"/>
      <c r="AW1137" s="50"/>
      <c r="AX1137" s="50"/>
      <c r="AY1137" s="50"/>
      <c r="AZ1137" s="50"/>
      <c r="BA1137" s="50"/>
      <c r="BB1137" s="50"/>
      <c r="BC1137" s="50"/>
      <c r="BD1137" s="50"/>
      <c r="BE1137" s="50"/>
      <c r="BF1137" s="50"/>
      <c r="BG1137" s="50"/>
      <c r="BH1137" s="50"/>
      <c r="BI1137" s="50"/>
      <c r="BJ1137" s="50"/>
      <c r="BK1137" s="50"/>
      <c r="BL1137" s="50"/>
      <c r="BM1137" s="50"/>
      <c r="BN1137" s="50"/>
      <c r="BO1137" s="50"/>
      <c r="BP1137" s="50"/>
      <c r="BQ1137" s="50"/>
      <c r="BR1137" s="50"/>
      <c r="BS1137" s="111"/>
      <c r="BT1137" s="50"/>
      <c r="BU1137" s="50"/>
      <c r="BV1137" s="50"/>
      <c r="BW1137" s="50"/>
      <c r="BX1137" s="50"/>
      <c r="BY1137" s="50"/>
      <c r="BZ1137" s="50"/>
      <c r="CA1137" s="50"/>
      <c r="CB1137" s="50"/>
      <c r="CC1137" s="50"/>
      <c r="CD1137" s="50"/>
      <c r="CE1137" s="50"/>
      <c r="CF1137" s="50"/>
      <c r="CG1137" s="50"/>
      <c r="CH1137" s="50"/>
      <c r="CI1137" s="50"/>
      <c r="CJ1137" s="50"/>
      <c r="CK1137" s="50"/>
      <c r="CL1137" s="50"/>
      <c r="CM1137" s="50"/>
      <c r="CN1137" s="50"/>
      <c r="CO1137" s="50"/>
      <c r="CP1137" s="50"/>
      <c r="CQ1137" s="50"/>
      <c r="CR1137" s="50"/>
      <c r="CS1137" s="50"/>
    </row>
    <row r="1138" spans="1:97" ht="15" thickBot="1">
      <c r="A1138" s="49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111"/>
      <c r="O1138" s="111"/>
      <c r="P1138" s="111"/>
      <c r="Q1138" s="111"/>
      <c r="R1138" s="111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1"/>
      <c r="AF1138" s="111"/>
      <c r="AG1138" s="111"/>
      <c r="AH1138" s="111"/>
      <c r="AI1138" s="111"/>
      <c r="AJ1138" s="111"/>
      <c r="AK1138" s="111"/>
      <c r="AL1138" s="111"/>
      <c r="AM1138" s="111"/>
      <c r="AN1138" s="111"/>
      <c r="AO1138" s="111"/>
      <c r="AP1138" s="111"/>
      <c r="AQ1138" s="111"/>
      <c r="AR1138" s="111"/>
      <c r="AS1138" s="111"/>
      <c r="AT1138" s="111"/>
      <c r="AU1138" s="111"/>
      <c r="AV1138" s="50"/>
      <c r="AW1138" s="50"/>
      <c r="AX1138" s="50"/>
      <c r="AY1138" s="50"/>
      <c r="AZ1138" s="50"/>
      <c r="BA1138" s="50"/>
      <c r="BB1138" s="50"/>
      <c r="BC1138" s="50"/>
      <c r="BD1138" s="50"/>
      <c r="BE1138" s="50"/>
      <c r="BF1138" s="50"/>
      <c r="BG1138" s="50"/>
      <c r="BH1138" s="50"/>
      <c r="BI1138" s="50"/>
      <c r="BJ1138" s="50"/>
      <c r="BK1138" s="50"/>
      <c r="BL1138" s="50"/>
      <c r="BM1138" s="50"/>
      <c r="BN1138" s="50"/>
      <c r="BO1138" s="50"/>
      <c r="BP1138" s="50"/>
      <c r="BQ1138" s="50"/>
      <c r="BR1138" s="50"/>
      <c r="BS1138" s="111"/>
      <c r="BT1138" s="50"/>
      <c r="BU1138" s="50"/>
      <c r="BV1138" s="50"/>
      <c r="BW1138" s="50"/>
      <c r="BX1138" s="50"/>
      <c r="BY1138" s="50"/>
      <c r="BZ1138" s="50"/>
      <c r="CA1138" s="50"/>
      <c r="CB1138" s="50"/>
      <c r="CC1138" s="50"/>
      <c r="CD1138" s="50"/>
      <c r="CE1138" s="50"/>
      <c r="CF1138" s="50"/>
      <c r="CG1138" s="50"/>
      <c r="CH1138" s="50"/>
      <c r="CI1138" s="50"/>
      <c r="CJ1138" s="50"/>
      <c r="CK1138" s="50"/>
      <c r="CL1138" s="50"/>
      <c r="CM1138" s="50"/>
      <c r="CN1138" s="50"/>
      <c r="CO1138" s="50"/>
      <c r="CP1138" s="50"/>
      <c r="CQ1138" s="50"/>
      <c r="CR1138" s="50"/>
      <c r="CS1138" s="50"/>
    </row>
    <row r="1139" spans="1:97" ht="15" thickBot="1">
      <c r="A1139" s="49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111"/>
      <c r="O1139" s="111"/>
      <c r="P1139" s="111"/>
      <c r="Q1139" s="111"/>
      <c r="R1139" s="111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1"/>
      <c r="AF1139" s="111"/>
      <c r="AG1139" s="111"/>
      <c r="AH1139" s="111"/>
      <c r="AI1139" s="111"/>
      <c r="AJ1139" s="111"/>
      <c r="AK1139" s="111"/>
      <c r="AL1139" s="111"/>
      <c r="AM1139" s="111"/>
      <c r="AN1139" s="111"/>
      <c r="AO1139" s="111"/>
      <c r="AP1139" s="111"/>
      <c r="AQ1139" s="111"/>
      <c r="AR1139" s="111"/>
      <c r="AS1139" s="111"/>
      <c r="AT1139" s="111"/>
      <c r="AU1139" s="111"/>
      <c r="AV1139" s="50"/>
      <c r="AW1139" s="50"/>
      <c r="AX1139" s="50"/>
      <c r="AY1139" s="50"/>
      <c r="AZ1139" s="50"/>
      <c r="BA1139" s="50"/>
      <c r="BB1139" s="50"/>
      <c r="BC1139" s="50"/>
      <c r="BD1139" s="50"/>
      <c r="BE1139" s="50"/>
      <c r="BF1139" s="50"/>
      <c r="BG1139" s="50"/>
      <c r="BH1139" s="50"/>
      <c r="BI1139" s="50"/>
      <c r="BJ1139" s="50"/>
      <c r="BK1139" s="50"/>
      <c r="BL1139" s="50"/>
      <c r="BM1139" s="50"/>
      <c r="BN1139" s="50"/>
      <c r="BO1139" s="50"/>
      <c r="BP1139" s="50"/>
      <c r="BQ1139" s="50"/>
      <c r="BR1139" s="50"/>
      <c r="BS1139" s="111"/>
      <c r="BT1139" s="50"/>
      <c r="BU1139" s="50"/>
      <c r="BV1139" s="50"/>
      <c r="BW1139" s="50"/>
      <c r="BX1139" s="50"/>
      <c r="BY1139" s="50"/>
      <c r="BZ1139" s="50"/>
      <c r="CA1139" s="50"/>
      <c r="CB1139" s="50"/>
      <c r="CC1139" s="50"/>
      <c r="CD1139" s="50"/>
      <c r="CE1139" s="50"/>
      <c r="CF1139" s="50"/>
      <c r="CG1139" s="50"/>
      <c r="CH1139" s="50"/>
      <c r="CI1139" s="50"/>
      <c r="CJ1139" s="50"/>
      <c r="CK1139" s="50"/>
      <c r="CL1139" s="50"/>
      <c r="CM1139" s="50"/>
      <c r="CN1139" s="50"/>
      <c r="CO1139" s="50"/>
      <c r="CP1139" s="50"/>
      <c r="CQ1139" s="50"/>
      <c r="CR1139" s="50"/>
      <c r="CS1139" s="50"/>
    </row>
    <row r="1140" spans="1:97" ht="15" thickBot="1">
      <c r="A1140" s="49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111"/>
      <c r="O1140" s="111"/>
      <c r="P1140" s="111"/>
      <c r="Q1140" s="111"/>
      <c r="R1140" s="111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1"/>
      <c r="AF1140" s="111"/>
      <c r="AG1140" s="111"/>
      <c r="AH1140" s="111"/>
      <c r="AI1140" s="111"/>
      <c r="AJ1140" s="111"/>
      <c r="AK1140" s="111"/>
      <c r="AL1140" s="111"/>
      <c r="AM1140" s="111"/>
      <c r="AN1140" s="111"/>
      <c r="AO1140" s="111"/>
      <c r="AP1140" s="111"/>
      <c r="AQ1140" s="111"/>
      <c r="AR1140" s="111"/>
      <c r="AS1140" s="111"/>
      <c r="AT1140" s="111"/>
      <c r="AU1140" s="111"/>
      <c r="AV1140" s="50"/>
      <c r="AW1140" s="50"/>
      <c r="AX1140" s="50"/>
      <c r="AY1140" s="50"/>
      <c r="AZ1140" s="50"/>
      <c r="BA1140" s="50"/>
      <c r="BB1140" s="50"/>
      <c r="BC1140" s="50"/>
      <c r="BD1140" s="50"/>
      <c r="BE1140" s="50"/>
      <c r="BF1140" s="50"/>
      <c r="BG1140" s="50"/>
      <c r="BH1140" s="50"/>
      <c r="BI1140" s="50"/>
      <c r="BJ1140" s="50"/>
      <c r="BK1140" s="50"/>
      <c r="BL1140" s="50"/>
      <c r="BM1140" s="50"/>
      <c r="BN1140" s="50"/>
      <c r="BO1140" s="50"/>
      <c r="BP1140" s="50"/>
      <c r="BQ1140" s="50"/>
      <c r="BR1140" s="50"/>
      <c r="BS1140" s="111"/>
      <c r="BT1140" s="50"/>
      <c r="BU1140" s="50"/>
      <c r="BV1140" s="50"/>
      <c r="BW1140" s="50"/>
      <c r="BX1140" s="50"/>
      <c r="BY1140" s="50"/>
      <c r="BZ1140" s="50"/>
      <c r="CA1140" s="50"/>
      <c r="CB1140" s="50"/>
      <c r="CC1140" s="50"/>
      <c r="CD1140" s="50"/>
      <c r="CE1140" s="50"/>
      <c r="CF1140" s="50"/>
      <c r="CG1140" s="50"/>
      <c r="CH1140" s="50"/>
      <c r="CI1140" s="50"/>
      <c r="CJ1140" s="50"/>
      <c r="CK1140" s="50"/>
      <c r="CL1140" s="50"/>
      <c r="CM1140" s="50"/>
      <c r="CN1140" s="50"/>
      <c r="CO1140" s="50"/>
      <c r="CP1140" s="50"/>
      <c r="CQ1140" s="50"/>
      <c r="CR1140" s="50"/>
      <c r="CS1140" s="50"/>
    </row>
    <row r="1141" spans="1:97" ht="15" thickBot="1">
      <c r="A1141" s="49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111"/>
      <c r="O1141" s="111"/>
      <c r="P1141" s="111"/>
      <c r="Q1141" s="111"/>
      <c r="R1141" s="111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1"/>
      <c r="AF1141" s="111"/>
      <c r="AG1141" s="111"/>
      <c r="AH1141" s="111"/>
      <c r="AI1141" s="111"/>
      <c r="AJ1141" s="111"/>
      <c r="AK1141" s="111"/>
      <c r="AL1141" s="111"/>
      <c r="AM1141" s="111"/>
      <c r="AN1141" s="111"/>
      <c r="AO1141" s="111"/>
      <c r="AP1141" s="111"/>
      <c r="AQ1141" s="111"/>
      <c r="AR1141" s="111"/>
      <c r="AS1141" s="111"/>
      <c r="AT1141" s="111"/>
      <c r="AU1141" s="111"/>
      <c r="AV1141" s="50"/>
      <c r="AW1141" s="50"/>
      <c r="AX1141" s="50"/>
      <c r="AY1141" s="50"/>
      <c r="AZ1141" s="50"/>
      <c r="BA1141" s="50"/>
      <c r="BB1141" s="50"/>
      <c r="BC1141" s="50"/>
      <c r="BD1141" s="50"/>
      <c r="BE1141" s="50"/>
      <c r="BF1141" s="50"/>
      <c r="BG1141" s="50"/>
      <c r="BH1141" s="50"/>
      <c r="BI1141" s="50"/>
      <c r="BJ1141" s="50"/>
      <c r="BK1141" s="50"/>
      <c r="BL1141" s="50"/>
      <c r="BM1141" s="50"/>
      <c r="BN1141" s="50"/>
      <c r="BO1141" s="50"/>
      <c r="BP1141" s="50"/>
      <c r="BQ1141" s="50"/>
      <c r="BR1141" s="50"/>
      <c r="BS1141" s="111"/>
      <c r="BT1141" s="50"/>
      <c r="BU1141" s="50"/>
      <c r="BV1141" s="50"/>
      <c r="BW1141" s="50"/>
      <c r="BX1141" s="50"/>
      <c r="BY1141" s="50"/>
      <c r="BZ1141" s="50"/>
      <c r="CA1141" s="50"/>
      <c r="CB1141" s="50"/>
      <c r="CC1141" s="50"/>
      <c r="CD1141" s="50"/>
      <c r="CE1141" s="50"/>
      <c r="CF1141" s="50"/>
      <c r="CG1141" s="50"/>
      <c r="CH1141" s="50"/>
      <c r="CI1141" s="50"/>
      <c r="CJ1141" s="50"/>
      <c r="CK1141" s="50"/>
      <c r="CL1141" s="50"/>
      <c r="CM1141" s="50"/>
      <c r="CN1141" s="50"/>
      <c r="CO1141" s="50"/>
      <c r="CP1141" s="50"/>
      <c r="CQ1141" s="50"/>
      <c r="CR1141" s="50"/>
      <c r="CS1141" s="50"/>
    </row>
    <row r="1142" spans="1:97" ht="15" thickBot="1">
      <c r="A1142" s="49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111"/>
      <c r="O1142" s="111"/>
      <c r="P1142" s="111"/>
      <c r="Q1142" s="111"/>
      <c r="R1142" s="111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1"/>
      <c r="AF1142" s="111"/>
      <c r="AG1142" s="111"/>
      <c r="AH1142" s="111"/>
      <c r="AI1142" s="111"/>
      <c r="AJ1142" s="111"/>
      <c r="AK1142" s="111"/>
      <c r="AL1142" s="111"/>
      <c r="AM1142" s="111"/>
      <c r="AN1142" s="111"/>
      <c r="AO1142" s="111"/>
      <c r="AP1142" s="111"/>
      <c r="AQ1142" s="111"/>
      <c r="AR1142" s="111"/>
      <c r="AS1142" s="111"/>
      <c r="AT1142" s="111"/>
      <c r="AU1142" s="111"/>
      <c r="AV1142" s="50"/>
      <c r="AW1142" s="50"/>
      <c r="AX1142" s="50"/>
      <c r="AY1142" s="50"/>
      <c r="AZ1142" s="50"/>
      <c r="BA1142" s="50"/>
      <c r="BB1142" s="50"/>
      <c r="BC1142" s="50"/>
      <c r="BD1142" s="50"/>
      <c r="BE1142" s="50"/>
      <c r="BF1142" s="50"/>
      <c r="BG1142" s="50"/>
      <c r="BH1142" s="50"/>
      <c r="BI1142" s="50"/>
      <c r="BJ1142" s="50"/>
      <c r="BK1142" s="50"/>
      <c r="BL1142" s="50"/>
      <c r="BM1142" s="50"/>
      <c r="BN1142" s="50"/>
      <c r="BO1142" s="50"/>
      <c r="BP1142" s="50"/>
      <c r="BQ1142" s="50"/>
      <c r="BR1142" s="50"/>
      <c r="BS1142" s="111"/>
      <c r="BT1142" s="50"/>
      <c r="BU1142" s="50"/>
      <c r="BV1142" s="50"/>
      <c r="BW1142" s="50"/>
      <c r="BX1142" s="50"/>
      <c r="BY1142" s="50"/>
      <c r="BZ1142" s="50"/>
      <c r="CA1142" s="50"/>
      <c r="CB1142" s="50"/>
      <c r="CC1142" s="50"/>
      <c r="CD1142" s="50"/>
      <c r="CE1142" s="50"/>
      <c r="CF1142" s="50"/>
      <c r="CG1142" s="50"/>
      <c r="CH1142" s="50"/>
      <c r="CI1142" s="50"/>
      <c r="CJ1142" s="50"/>
      <c r="CK1142" s="50"/>
      <c r="CL1142" s="50"/>
      <c r="CM1142" s="50"/>
      <c r="CN1142" s="50"/>
      <c r="CO1142" s="50"/>
      <c r="CP1142" s="50"/>
      <c r="CQ1142" s="50"/>
      <c r="CR1142" s="50"/>
      <c r="CS1142" s="50"/>
    </row>
    <row r="1143" spans="1:97" ht="15" thickBot="1">
      <c r="A1143" s="49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111"/>
      <c r="O1143" s="111"/>
      <c r="P1143" s="111"/>
      <c r="Q1143" s="111"/>
      <c r="R1143" s="111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1"/>
      <c r="AF1143" s="111"/>
      <c r="AG1143" s="111"/>
      <c r="AH1143" s="111"/>
      <c r="AI1143" s="111"/>
      <c r="AJ1143" s="111"/>
      <c r="AK1143" s="111"/>
      <c r="AL1143" s="111"/>
      <c r="AM1143" s="111"/>
      <c r="AN1143" s="111"/>
      <c r="AO1143" s="111"/>
      <c r="AP1143" s="111"/>
      <c r="AQ1143" s="111"/>
      <c r="AR1143" s="111"/>
      <c r="AS1143" s="111"/>
      <c r="AT1143" s="111"/>
      <c r="AU1143" s="111"/>
      <c r="AV1143" s="50"/>
      <c r="AW1143" s="50"/>
      <c r="AX1143" s="50"/>
      <c r="AY1143" s="50"/>
      <c r="AZ1143" s="50"/>
      <c r="BA1143" s="50"/>
      <c r="BB1143" s="50"/>
      <c r="BC1143" s="50"/>
      <c r="BD1143" s="50"/>
      <c r="BE1143" s="50"/>
      <c r="BF1143" s="50"/>
      <c r="BG1143" s="50"/>
      <c r="BH1143" s="50"/>
      <c r="BI1143" s="50"/>
      <c r="BJ1143" s="50"/>
      <c r="BK1143" s="50"/>
      <c r="BL1143" s="50"/>
      <c r="BM1143" s="50"/>
      <c r="BN1143" s="50"/>
      <c r="BO1143" s="50"/>
      <c r="BP1143" s="50"/>
      <c r="BQ1143" s="50"/>
      <c r="BR1143" s="50"/>
      <c r="BS1143" s="111"/>
      <c r="BT1143" s="50"/>
      <c r="BU1143" s="50"/>
      <c r="BV1143" s="50"/>
      <c r="BW1143" s="50"/>
      <c r="BX1143" s="50"/>
      <c r="BY1143" s="50"/>
      <c r="BZ1143" s="50"/>
      <c r="CA1143" s="50"/>
      <c r="CB1143" s="50"/>
      <c r="CC1143" s="50"/>
      <c r="CD1143" s="50"/>
      <c r="CE1143" s="50"/>
      <c r="CF1143" s="50"/>
      <c r="CG1143" s="50"/>
      <c r="CH1143" s="50"/>
      <c r="CI1143" s="50"/>
      <c r="CJ1143" s="50"/>
      <c r="CK1143" s="50"/>
      <c r="CL1143" s="50"/>
      <c r="CM1143" s="50"/>
      <c r="CN1143" s="50"/>
      <c r="CO1143" s="50"/>
      <c r="CP1143" s="50"/>
      <c r="CQ1143" s="50"/>
      <c r="CR1143" s="50"/>
      <c r="CS1143" s="50"/>
    </row>
    <row r="1144" spans="1:97" ht="15" thickBot="1">
      <c r="A1144" s="49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111"/>
      <c r="O1144" s="111"/>
      <c r="P1144" s="111"/>
      <c r="Q1144" s="111"/>
      <c r="R1144" s="111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1"/>
      <c r="AF1144" s="111"/>
      <c r="AG1144" s="111"/>
      <c r="AH1144" s="111"/>
      <c r="AI1144" s="111"/>
      <c r="AJ1144" s="111"/>
      <c r="AK1144" s="111"/>
      <c r="AL1144" s="111"/>
      <c r="AM1144" s="111"/>
      <c r="AN1144" s="111"/>
      <c r="AO1144" s="111"/>
      <c r="AP1144" s="111"/>
      <c r="AQ1144" s="111"/>
      <c r="AR1144" s="111"/>
      <c r="AS1144" s="111"/>
      <c r="AT1144" s="111"/>
      <c r="AU1144" s="111"/>
      <c r="AV1144" s="50"/>
      <c r="AW1144" s="50"/>
      <c r="AX1144" s="50"/>
      <c r="AY1144" s="50"/>
      <c r="AZ1144" s="50"/>
      <c r="BA1144" s="50"/>
      <c r="BB1144" s="50"/>
      <c r="BC1144" s="50"/>
      <c r="BD1144" s="50"/>
      <c r="BE1144" s="50"/>
      <c r="BF1144" s="50"/>
      <c r="BG1144" s="50"/>
      <c r="BH1144" s="50"/>
      <c r="BI1144" s="50"/>
      <c r="BJ1144" s="50"/>
      <c r="BK1144" s="50"/>
      <c r="BL1144" s="50"/>
      <c r="BM1144" s="50"/>
      <c r="BN1144" s="50"/>
      <c r="BO1144" s="50"/>
      <c r="BP1144" s="50"/>
      <c r="BQ1144" s="50"/>
      <c r="BR1144" s="50"/>
      <c r="BS1144" s="111"/>
      <c r="BT1144" s="50"/>
      <c r="BU1144" s="50"/>
      <c r="BV1144" s="50"/>
      <c r="BW1144" s="50"/>
      <c r="BX1144" s="50"/>
      <c r="BY1144" s="50"/>
      <c r="BZ1144" s="50"/>
      <c r="CA1144" s="50"/>
      <c r="CB1144" s="50"/>
      <c r="CC1144" s="50"/>
      <c r="CD1144" s="50"/>
      <c r="CE1144" s="50"/>
      <c r="CF1144" s="50"/>
      <c r="CG1144" s="50"/>
      <c r="CH1144" s="50"/>
      <c r="CI1144" s="50"/>
      <c r="CJ1144" s="50"/>
      <c r="CK1144" s="50"/>
      <c r="CL1144" s="50"/>
      <c r="CM1144" s="50"/>
      <c r="CN1144" s="50"/>
      <c r="CO1144" s="50"/>
      <c r="CP1144" s="50"/>
      <c r="CQ1144" s="50"/>
      <c r="CR1144" s="50"/>
      <c r="CS1144" s="50"/>
    </row>
    <row r="1145" spans="1:97" ht="15" thickBot="1">
      <c r="A1145" s="49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111"/>
      <c r="O1145" s="111"/>
      <c r="P1145" s="111"/>
      <c r="Q1145" s="111"/>
      <c r="R1145" s="111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1"/>
      <c r="AF1145" s="111"/>
      <c r="AG1145" s="111"/>
      <c r="AH1145" s="111"/>
      <c r="AI1145" s="111"/>
      <c r="AJ1145" s="111"/>
      <c r="AK1145" s="111"/>
      <c r="AL1145" s="111"/>
      <c r="AM1145" s="111"/>
      <c r="AN1145" s="111"/>
      <c r="AO1145" s="111"/>
      <c r="AP1145" s="111"/>
      <c r="AQ1145" s="111"/>
      <c r="AR1145" s="111"/>
      <c r="AS1145" s="111"/>
      <c r="AT1145" s="111"/>
      <c r="AU1145" s="111"/>
      <c r="AV1145" s="50"/>
      <c r="AW1145" s="50"/>
      <c r="AX1145" s="50"/>
      <c r="AY1145" s="50"/>
      <c r="AZ1145" s="50"/>
      <c r="BA1145" s="50"/>
      <c r="BB1145" s="50"/>
      <c r="BC1145" s="50"/>
      <c r="BD1145" s="50"/>
      <c r="BE1145" s="50"/>
      <c r="BF1145" s="50"/>
      <c r="BG1145" s="50"/>
      <c r="BH1145" s="50"/>
      <c r="BI1145" s="50"/>
      <c r="BJ1145" s="50"/>
      <c r="BK1145" s="50"/>
      <c r="BL1145" s="50"/>
      <c r="BM1145" s="50"/>
      <c r="BN1145" s="50"/>
      <c r="BO1145" s="50"/>
      <c r="BP1145" s="50"/>
      <c r="BQ1145" s="50"/>
      <c r="BR1145" s="50"/>
      <c r="BS1145" s="111"/>
      <c r="BT1145" s="50"/>
      <c r="BU1145" s="50"/>
      <c r="BV1145" s="50"/>
      <c r="BW1145" s="50"/>
      <c r="BX1145" s="50"/>
      <c r="BY1145" s="50"/>
      <c r="BZ1145" s="50"/>
      <c r="CA1145" s="50"/>
      <c r="CB1145" s="50"/>
      <c r="CC1145" s="50"/>
      <c r="CD1145" s="50"/>
      <c r="CE1145" s="50"/>
      <c r="CF1145" s="50"/>
      <c r="CG1145" s="50"/>
      <c r="CH1145" s="50"/>
      <c r="CI1145" s="50"/>
      <c r="CJ1145" s="50"/>
      <c r="CK1145" s="50"/>
      <c r="CL1145" s="50"/>
      <c r="CM1145" s="50"/>
      <c r="CN1145" s="50"/>
      <c r="CO1145" s="50"/>
      <c r="CP1145" s="50"/>
      <c r="CQ1145" s="50"/>
      <c r="CR1145" s="50"/>
      <c r="CS1145" s="50"/>
    </row>
    <row r="1146" spans="1:97" ht="15" thickBot="1">
      <c r="A1146" s="49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111"/>
      <c r="O1146" s="111"/>
      <c r="P1146" s="111"/>
      <c r="Q1146" s="111"/>
      <c r="R1146" s="111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1"/>
      <c r="AF1146" s="111"/>
      <c r="AG1146" s="111"/>
      <c r="AH1146" s="111"/>
      <c r="AI1146" s="111"/>
      <c r="AJ1146" s="111"/>
      <c r="AK1146" s="111"/>
      <c r="AL1146" s="111"/>
      <c r="AM1146" s="111"/>
      <c r="AN1146" s="111"/>
      <c r="AO1146" s="111"/>
      <c r="AP1146" s="111"/>
      <c r="AQ1146" s="111"/>
      <c r="AR1146" s="111"/>
      <c r="AS1146" s="111"/>
      <c r="AT1146" s="111"/>
      <c r="AU1146" s="111"/>
      <c r="AV1146" s="50"/>
      <c r="AW1146" s="50"/>
      <c r="AX1146" s="50"/>
      <c r="AY1146" s="50"/>
      <c r="AZ1146" s="50"/>
      <c r="BA1146" s="50"/>
      <c r="BB1146" s="50"/>
      <c r="BC1146" s="50"/>
      <c r="BD1146" s="50"/>
      <c r="BE1146" s="50"/>
      <c r="BF1146" s="50"/>
      <c r="BG1146" s="50"/>
      <c r="BH1146" s="50"/>
      <c r="BI1146" s="50"/>
      <c r="BJ1146" s="50"/>
      <c r="BK1146" s="50"/>
      <c r="BL1146" s="50"/>
      <c r="BM1146" s="50"/>
      <c r="BN1146" s="50"/>
      <c r="BO1146" s="50"/>
      <c r="BP1146" s="50"/>
      <c r="BQ1146" s="50"/>
      <c r="BR1146" s="50"/>
      <c r="BS1146" s="111"/>
      <c r="BT1146" s="50"/>
      <c r="BU1146" s="50"/>
      <c r="BV1146" s="50"/>
      <c r="BW1146" s="50"/>
      <c r="BX1146" s="50"/>
      <c r="BY1146" s="50"/>
      <c r="BZ1146" s="50"/>
      <c r="CA1146" s="50"/>
      <c r="CB1146" s="50"/>
      <c r="CC1146" s="50"/>
      <c r="CD1146" s="50"/>
      <c r="CE1146" s="50"/>
      <c r="CF1146" s="50"/>
      <c r="CG1146" s="50"/>
      <c r="CH1146" s="50"/>
      <c r="CI1146" s="50"/>
      <c r="CJ1146" s="50"/>
      <c r="CK1146" s="50"/>
      <c r="CL1146" s="50"/>
      <c r="CM1146" s="50"/>
      <c r="CN1146" s="50"/>
      <c r="CO1146" s="50"/>
      <c r="CP1146" s="50"/>
      <c r="CQ1146" s="50"/>
      <c r="CR1146" s="50"/>
      <c r="CS1146" s="50"/>
    </row>
    <row r="1147" spans="1:97" ht="15" thickBot="1">
      <c r="A1147" s="49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111"/>
      <c r="O1147" s="111"/>
      <c r="P1147" s="111"/>
      <c r="Q1147" s="111"/>
      <c r="R1147" s="111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1"/>
      <c r="AF1147" s="111"/>
      <c r="AG1147" s="111"/>
      <c r="AH1147" s="111"/>
      <c r="AI1147" s="111"/>
      <c r="AJ1147" s="111"/>
      <c r="AK1147" s="111"/>
      <c r="AL1147" s="111"/>
      <c r="AM1147" s="111"/>
      <c r="AN1147" s="111"/>
      <c r="AO1147" s="111"/>
      <c r="AP1147" s="111"/>
      <c r="AQ1147" s="111"/>
      <c r="AR1147" s="111"/>
      <c r="AS1147" s="111"/>
      <c r="AT1147" s="111"/>
      <c r="AU1147" s="111"/>
      <c r="AV1147" s="50"/>
      <c r="AW1147" s="50"/>
      <c r="AX1147" s="50"/>
      <c r="AY1147" s="50"/>
      <c r="AZ1147" s="50"/>
      <c r="BA1147" s="50"/>
      <c r="BB1147" s="50"/>
      <c r="BC1147" s="50"/>
      <c r="BD1147" s="50"/>
      <c r="BE1147" s="50"/>
      <c r="BF1147" s="50"/>
      <c r="BG1147" s="50"/>
      <c r="BH1147" s="50"/>
      <c r="BI1147" s="50"/>
      <c r="BJ1147" s="50"/>
      <c r="BK1147" s="50"/>
      <c r="BL1147" s="50"/>
      <c r="BM1147" s="50"/>
      <c r="BN1147" s="50"/>
      <c r="BO1147" s="50"/>
      <c r="BP1147" s="50"/>
      <c r="BQ1147" s="50"/>
      <c r="BR1147" s="50"/>
      <c r="BS1147" s="111"/>
      <c r="BT1147" s="50"/>
      <c r="BU1147" s="50"/>
      <c r="BV1147" s="50"/>
      <c r="BW1147" s="50"/>
      <c r="BX1147" s="50"/>
      <c r="BY1147" s="50"/>
      <c r="BZ1147" s="50"/>
      <c r="CA1147" s="50"/>
      <c r="CB1147" s="50"/>
      <c r="CC1147" s="50"/>
      <c r="CD1147" s="50"/>
      <c r="CE1147" s="50"/>
      <c r="CF1147" s="50"/>
      <c r="CG1147" s="50"/>
      <c r="CH1147" s="50"/>
      <c r="CI1147" s="50"/>
      <c r="CJ1147" s="50"/>
      <c r="CK1147" s="50"/>
      <c r="CL1147" s="50"/>
      <c r="CM1147" s="50"/>
      <c r="CN1147" s="50"/>
      <c r="CO1147" s="50"/>
      <c r="CP1147" s="50"/>
      <c r="CQ1147" s="50"/>
      <c r="CR1147" s="50"/>
      <c r="CS1147" s="50"/>
    </row>
    <row r="1148" spans="1:97" ht="15" thickBot="1">
      <c r="A1148" s="49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111"/>
      <c r="O1148" s="111"/>
      <c r="P1148" s="111"/>
      <c r="Q1148" s="111"/>
      <c r="R1148" s="111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1"/>
      <c r="AF1148" s="111"/>
      <c r="AG1148" s="111"/>
      <c r="AH1148" s="111"/>
      <c r="AI1148" s="111"/>
      <c r="AJ1148" s="111"/>
      <c r="AK1148" s="111"/>
      <c r="AL1148" s="111"/>
      <c r="AM1148" s="111"/>
      <c r="AN1148" s="111"/>
      <c r="AO1148" s="111"/>
      <c r="AP1148" s="111"/>
      <c r="AQ1148" s="111"/>
      <c r="AR1148" s="111"/>
      <c r="AS1148" s="111"/>
      <c r="AT1148" s="111"/>
      <c r="AU1148" s="111"/>
      <c r="AV1148" s="50"/>
      <c r="AW1148" s="50"/>
      <c r="AX1148" s="50"/>
      <c r="AY1148" s="50"/>
      <c r="AZ1148" s="50"/>
      <c r="BA1148" s="50"/>
      <c r="BB1148" s="50"/>
      <c r="BC1148" s="50"/>
      <c r="BD1148" s="50"/>
      <c r="BE1148" s="50"/>
      <c r="BF1148" s="50"/>
      <c r="BG1148" s="50"/>
      <c r="BH1148" s="50"/>
      <c r="BI1148" s="50"/>
      <c r="BJ1148" s="50"/>
      <c r="BK1148" s="50"/>
      <c r="BL1148" s="50"/>
      <c r="BM1148" s="50"/>
      <c r="BN1148" s="50"/>
      <c r="BO1148" s="50"/>
      <c r="BP1148" s="50"/>
      <c r="BQ1148" s="50"/>
      <c r="BR1148" s="50"/>
      <c r="BS1148" s="111"/>
      <c r="BT1148" s="50"/>
      <c r="BU1148" s="50"/>
      <c r="BV1148" s="50"/>
      <c r="BW1148" s="50"/>
      <c r="BX1148" s="50"/>
      <c r="BY1148" s="50"/>
      <c r="BZ1148" s="50"/>
      <c r="CA1148" s="50"/>
      <c r="CB1148" s="50"/>
      <c r="CC1148" s="50"/>
      <c r="CD1148" s="50"/>
      <c r="CE1148" s="50"/>
      <c r="CF1148" s="50"/>
      <c r="CG1148" s="50"/>
      <c r="CH1148" s="50"/>
      <c r="CI1148" s="50"/>
      <c r="CJ1148" s="50"/>
      <c r="CK1148" s="50"/>
      <c r="CL1148" s="50"/>
      <c r="CM1148" s="50"/>
      <c r="CN1148" s="50"/>
      <c r="CO1148" s="50"/>
      <c r="CP1148" s="50"/>
      <c r="CQ1148" s="50"/>
      <c r="CR1148" s="50"/>
      <c r="CS1148" s="50"/>
    </row>
    <row r="1149" spans="1:97" ht="15" thickBot="1">
      <c r="A1149" s="49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111"/>
      <c r="O1149" s="111"/>
      <c r="P1149" s="111"/>
      <c r="Q1149" s="111"/>
      <c r="R1149" s="111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1"/>
      <c r="AF1149" s="111"/>
      <c r="AG1149" s="111"/>
      <c r="AH1149" s="111"/>
      <c r="AI1149" s="111"/>
      <c r="AJ1149" s="111"/>
      <c r="AK1149" s="111"/>
      <c r="AL1149" s="111"/>
      <c r="AM1149" s="111"/>
      <c r="AN1149" s="111"/>
      <c r="AO1149" s="111"/>
      <c r="AP1149" s="111"/>
      <c r="AQ1149" s="111"/>
      <c r="AR1149" s="111"/>
      <c r="AS1149" s="111"/>
      <c r="AT1149" s="111"/>
      <c r="AU1149" s="111"/>
      <c r="AV1149" s="50"/>
      <c r="AW1149" s="50"/>
      <c r="AX1149" s="50"/>
      <c r="AY1149" s="50"/>
      <c r="AZ1149" s="50"/>
      <c r="BA1149" s="50"/>
      <c r="BB1149" s="50"/>
      <c r="BC1149" s="50"/>
      <c r="BD1149" s="50"/>
      <c r="BE1149" s="50"/>
      <c r="BF1149" s="50"/>
      <c r="BG1149" s="50"/>
      <c r="BH1149" s="50"/>
      <c r="BI1149" s="50"/>
      <c r="BJ1149" s="50"/>
      <c r="BK1149" s="50"/>
      <c r="BL1149" s="50"/>
      <c r="BM1149" s="50"/>
      <c r="BN1149" s="50"/>
      <c r="BO1149" s="50"/>
      <c r="BP1149" s="50"/>
      <c r="BQ1149" s="50"/>
      <c r="BR1149" s="50"/>
      <c r="BS1149" s="111"/>
      <c r="BT1149" s="50"/>
      <c r="BU1149" s="50"/>
      <c r="BV1149" s="50"/>
      <c r="BW1149" s="50"/>
      <c r="BX1149" s="50"/>
      <c r="BY1149" s="50"/>
      <c r="BZ1149" s="50"/>
      <c r="CA1149" s="50"/>
      <c r="CB1149" s="50"/>
      <c r="CC1149" s="50"/>
      <c r="CD1149" s="50"/>
      <c r="CE1149" s="50"/>
      <c r="CF1149" s="50"/>
      <c r="CG1149" s="50"/>
      <c r="CH1149" s="50"/>
      <c r="CI1149" s="50"/>
      <c r="CJ1149" s="50"/>
      <c r="CK1149" s="50"/>
      <c r="CL1149" s="50"/>
      <c r="CM1149" s="50"/>
      <c r="CN1149" s="50"/>
      <c r="CO1149" s="50"/>
      <c r="CP1149" s="50"/>
      <c r="CQ1149" s="50"/>
      <c r="CR1149" s="50"/>
      <c r="CS1149" s="50"/>
    </row>
    <row r="1150" spans="1:97" ht="15" thickBot="1">
      <c r="A1150" s="49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111"/>
      <c r="O1150" s="111"/>
      <c r="P1150" s="111"/>
      <c r="Q1150" s="111"/>
      <c r="R1150" s="111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1"/>
      <c r="AF1150" s="111"/>
      <c r="AG1150" s="111"/>
      <c r="AH1150" s="111"/>
      <c r="AI1150" s="111"/>
      <c r="AJ1150" s="111"/>
      <c r="AK1150" s="111"/>
      <c r="AL1150" s="111"/>
      <c r="AM1150" s="111"/>
      <c r="AN1150" s="111"/>
      <c r="AO1150" s="111"/>
      <c r="AP1150" s="111"/>
      <c r="AQ1150" s="111"/>
      <c r="AR1150" s="111"/>
      <c r="AS1150" s="111"/>
      <c r="AT1150" s="111"/>
      <c r="AU1150" s="111"/>
      <c r="AV1150" s="50"/>
      <c r="AW1150" s="50"/>
      <c r="AX1150" s="50"/>
      <c r="AY1150" s="50"/>
      <c r="AZ1150" s="50"/>
      <c r="BA1150" s="50"/>
      <c r="BB1150" s="50"/>
      <c r="BC1150" s="50"/>
      <c r="BD1150" s="50"/>
      <c r="BE1150" s="50"/>
      <c r="BF1150" s="50"/>
      <c r="BG1150" s="50"/>
      <c r="BH1150" s="50"/>
      <c r="BI1150" s="50"/>
      <c r="BJ1150" s="50"/>
      <c r="BK1150" s="50"/>
      <c r="BL1150" s="50"/>
      <c r="BM1150" s="50"/>
      <c r="BN1150" s="50"/>
      <c r="BO1150" s="50"/>
      <c r="BP1150" s="50"/>
      <c r="BQ1150" s="50"/>
      <c r="BR1150" s="50"/>
      <c r="BS1150" s="111"/>
      <c r="BT1150" s="50"/>
      <c r="BU1150" s="50"/>
      <c r="BV1150" s="50"/>
      <c r="BW1150" s="50"/>
      <c r="BX1150" s="50"/>
      <c r="BY1150" s="50"/>
      <c r="BZ1150" s="50"/>
      <c r="CA1150" s="50"/>
      <c r="CB1150" s="50"/>
      <c r="CC1150" s="50"/>
      <c r="CD1150" s="50"/>
      <c r="CE1150" s="50"/>
      <c r="CF1150" s="50"/>
      <c r="CG1150" s="50"/>
      <c r="CH1150" s="50"/>
      <c r="CI1150" s="50"/>
      <c r="CJ1150" s="50"/>
      <c r="CK1150" s="50"/>
      <c r="CL1150" s="50"/>
      <c r="CM1150" s="50"/>
      <c r="CN1150" s="50"/>
      <c r="CO1150" s="50"/>
      <c r="CP1150" s="50"/>
      <c r="CQ1150" s="50"/>
      <c r="CR1150" s="50"/>
      <c r="CS1150" s="50"/>
    </row>
    <row r="1151" spans="1:97" ht="15" thickBot="1">
      <c r="A1151" s="49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111"/>
      <c r="O1151" s="111"/>
      <c r="P1151" s="111"/>
      <c r="Q1151" s="111"/>
      <c r="R1151" s="111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1"/>
      <c r="AF1151" s="111"/>
      <c r="AG1151" s="111"/>
      <c r="AH1151" s="111"/>
      <c r="AI1151" s="111"/>
      <c r="AJ1151" s="111"/>
      <c r="AK1151" s="111"/>
      <c r="AL1151" s="111"/>
      <c r="AM1151" s="111"/>
      <c r="AN1151" s="111"/>
      <c r="AO1151" s="111"/>
      <c r="AP1151" s="111"/>
      <c r="AQ1151" s="111"/>
      <c r="AR1151" s="111"/>
      <c r="AS1151" s="111"/>
      <c r="AT1151" s="111"/>
      <c r="AU1151" s="111"/>
      <c r="AV1151" s="50"/>
      <c r="AW1151" s="50"/>
      <c r="AX1151" s="50"/>
      <c r="AY1151" s="50"/>
      <c r="AZ1151" s="50"/>
      <c r="BA1151" s="50"/>
      <c r="BB1151" s="50"/>
      <c r="BC1151" s="50"/>
      <c r="BD1151" s="50"/>
      <c r="BE1151" s="50"/>
      <c r="BF1151" s="50"/>
      <c r="BG1151" s="50"/>
      <c r="BH1151" s="50"/>
      <c r="BI1151" s="50"/>
      <c r="BJ1151" s="50"/>
      <c r="BK1151" s="50"/>
      <c r="BL1151" s="50"/>
      <c r="BM1151" s="50"/>
      <c r="BN1151" s="50"/>
      <c r="BO1151" s="50"/>
      <c r="BP1151" s="50"/>
      <c r="BQ1151" s="50"/>
      <c r="BR1151" s="50"/>
      <c r="BS1151" s="111"/>
      <c r="BT1151" s="50"/>
      <c r="BU1151" s="50"/>
      <c r="BV1151" s="50"/>
      <c r="BW1151" s="50"/>
      <c r="BX1151" s="50"/>
      <c r="BY1151" s="50"/>
      <c r="BZ1151" s="50"/>
      <c r="CA1151" s="50"/>
      <c r="CB1151" s="50"/>
      <c r="CC1151" s="50"/>
      <c r="CD1151" s="50"/>
      <c r="CE1151" s="50"/>
      <c r="CF1151" s="50"/>
      <c r="CG1151" s="50"/>
      <c r="CH1151" s="50"/>
      <c r="CI1151" s="50"/>
      <c r="CJ1151" s="50"/>
      <c r="CK1151" s="50"/>
      <c r="CL1151" s="50"/>
      <c r="CM1151" s="50"/>
      <c r="CN1151" s="50"/>
      <c r="CO1151" s="50"/>
      <c r="CP1151" s="50"/>
      <c r="CQ1151" s="50"/>
      <c r="CR1151" s="50"/>
      <c r="CS1151" s="50"/>
    </row>
    <row r="1152" spans="1:97" ht="15" thickBot="1">
      <c r="A1152" s="49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111"/>
      <c r="O1152" s="111"/>
      <c r="P1152" s="111"/>
      <c r="Q1152" s="111"/>
      <c r="R1152" s="111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1"/>
      <c r="AF1152" s="111"/>
      <c r="AG1152" s="111"/>
      <c r="AH1152" s="111"/>
      <c r="AI1152" s="111"/>
      <c r="AJ1152" s="111"/>
      <c r="AK1152" s="111"/>
      <c r="AL1152" s="111"/>
      <c r="AM1152" s="111"/>
      <c r="AN1152" s="111"/>
      <c r="AO1152" s="111"/>
      <c r="AP1152" s="111"/>
      <c r="AQ1152" s="111"/>
      <c r="AR1152" s="111"/>
      <c r="AS1152" s="111"/>
      <c r="AT1152" s="111"/>
      <c r="AU1152" s="111"/>
      <c r="AV1152" s="50"/>
      <c r="AW1152" s="50"/>
      <c r="AX1152" s="50"/>
      <c r="AY1152" s="50"/>
      <c r="AZ1152" s="50"/>
      <c r="BA1152" s="50"/>
      <c r="BB1152" s="50"/>
      <c r="BC1152" s="50"/>
      <c r="BD1152" s="50"/>
      <c r="BE1152" s="50"/>
      <c r="BF1152" s="50"/>
      <c r="BG1152" s="50"/>
      <c r="BH1152" s="50"/>
      <c r="BI1152" s="50"/>
      <c r="BJ1152" s="50"/>
      <c r="BK1152" s="50"/>
      <c r="BL1152" s="50"/>
      <c r="BM1152" s="50"/>
      <c r="BN1152" s="50"/>
      <c r="BO1152" s="50"/>
      <c r="BP1152" s="50"/>
      <c r="BQ1152" s="50"/>
      <c r="BR1152" s="50"/>
      <c r="BS1152" s="111"/>
      <c r="BT1152" s="50"/>
      <c r="BU1152" s="50"/>
      <c r="BV1152" s="50"/>
      <c r="BW1152" s="50"/>
      <c r="BX1152" s="50"/>
      <c r="BY1152" s="50"/>
      <c r="BZ1152" s="50"/>
      <c r="CA1152" s="50"/>
      <c r="CB1152" s="50"/>
      <c r="CC1152" s="50"/>
      <c r="CD1152" s="50"/>
      <c r="CE1152" s="50"/>
      <c r="CF1152" s="50"/>
      <c r="CG1152" s="50"/>
      <c r="CH1152" s="50"/>
      <c r="CI1152" s="50"/>
      <c r="CJ1152" s="50"/>
      <c r="CK1152" s="50"/>
      <c r="CL1152" s="50"/>
      <c r="CM1152" s="50"/>
      <c r="CN1152" s="50"/>
      <c r="CO1152" s="50"/>
      <c r="CP1152" s="50"/>
      <c r="CQ1152" s="50"/>
      <c r="CR1152" s="50"/>
      <c r="CS1152" s="50"/>
    </row>
    <row r="1153" spans="1:97" ht="15" thickBot="1">
      <c r="A1153" s="49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111"/>
      <c r="O1153" s="111"/>
      <c r="P1153" s="111"/>
      <c r="Q1153" s="111"/>
      <c r="R1153" s="111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1"/>
      <c r="AF1153" s="111"/>
      <c r="AG1153" s="111"/>
      <c r="AH1153" s="111"/>
      <c r="AI1153" s="111"/>
      <c r="AJ1153" s="111"/>
      <c r="AK1153" s="111"/>
      <c r="AL1153" s="111"/>
      <c r="AM1153" s="111"/>
      <c r="AN1153" s="111"/>
      <c r="AO1153" s="111"/>
      <c r="AP1153" s="111"/>
      <c r="AQ1153" s="111"/>
      <c r="AR1153" s="111"/>
      <c r="AS1153" s="111"/>
      <c r="AT1153" s="111"/>
      <c r="AU1153" s="111"/>
      <c r="AV1153" s="50"/>
      <c r="AW1153" s="50"/>
      <c r="AX1153" s="50"/>
      <c r="AY1153" s="50"/>
      <c r="AZ1153" s="50"/>
      <c r="BA1153" s="50"/>
      <c r="BB1153" s="50"/>
      <c r="BC1153" s="50"/>
      <c r="BD1153" s="50"/>
      <c r="BE1153" s="50"/>
      <c r="BF1153" s="50"/>
      <c r="BG1153" s="50"/>
      <c r="BH1153" s="50"/>
      <c r="BI1153" s="50"/>
      <c r="BJ1153" s="50"/>
      <c r="BK1153" s="50"/>
      <c r="BL1153" s="50"/>
      <c r="BM1153" s="50"/>
      <c r="BN1153" s="50"/>
      <c r="BO1153" s="50"/>
      <c r="BP1153" s="50"/>
      <c r="BQ1153" s="50"/>
      <c r="BR1153" s="50"/>
      <c r="BS1153" s="111"/>
      <c r="BT1153" s="50"/>
      <c r="BU1153" s="50"/>
      <c r="BV1153" s="50"/>
      <c r="BW1153" s="50"/>
      <c r="BX1153" s="50"/>
      <c r="BY1153" s="50"/>
      <c r="BZ1153" s="50"/>
      <c r="CA1153" s="50"/>
      <c r="CB1153" s="50"/>
      <c r="CC1153" s="50"/>
      <c r="CD1153" s="50"/>
      <c r="CE1153" s="50"/>
      <c r="CF1153" s="50"/>
      <c r="CG1153" s="50"/>
      <c r="CH1153" s="50"/>
      <c r="CI1153" s="50"/>
      <c r="CJ1153" s="50"/>
      <c r="CK1153" s="50"/>
      <c r="CL1153" s="50"/>
      <c r="CM1153" s="50"/>
      <c r="CN1153" s="50"/>
      <c r="CO1153" s="50"/>
      <c r="CP1153" s="50"/>
      <c r="CQ1153" s="50"/>
      <c r="CR1153" s="50"/>
      <c r="CS1153" s="50"/>
    </row>
    <row r="1154" spans="1:97" ht="15" thickBot="1">
      <c r="A1154" s="49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111"/>
      <c r="O1154" s="111"/>
      <c r="P1154" s="111"/>
      <c r="Q1154" s="111"/>
      <c r="R1154" s="111"/>
      <c r="S1154" s="111"/>
      <c r="T1154" s="111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1"/>
      <c r="AF1154" s="111"/>
      <c r="AG1154" s="111"/>
      <c r="AH1154" s="111"/>
      <c r="AI1154" s="111"/>
      <c r="AJ1154" s="111"/>
      <c r="AK1154" s="111"/>
      <c r="AL1154" s="111"/>
      <c r="AM1154" s="111"/>
      <c r="AN1154" s="111"/>
      <c r="AO1154" s="111"/>
      <c r="AP1154" s="111"/>
      <c r="AQ1154" s="111"/>
      <c r="AR1154" s="111"/>
      <c r="AS1154" s="111"/>
      <c r="AT1154" s="111"/>
      <c r="AU1154" s="111"/>
      <c r="AV1154" s="50"/>
      <c r="AW1154" s="50"/>
      <c r="AX1154" s="50"/>
      <c r="AY1154" s="50"/>
      <c r="AZ1154" s="50"/>
      <c r="BA1154" s="50"/>
      <c r="BB1154" s="50"/>
      <c r="BC1154" s="50"/>
      <c r="BD1154" s="50"/>
      <c r="BE1154" s="50"/>
      <c r="BF1154" s="50"/>
      <c r="BG1154" s="50"/>
      <c r="BH1154" s="50"/>
      <c r="BI1154" s="50"/>
      <c r="BJ1154" s="50"/>
      <c r="BK1154" s="50"/>
      <c r="BL1154" s="50"/>
      <c r="BM1154" s="50"/>
      <c r="BN1154" s="50"/>
      <c r="BO1154" s="50"/>
      <c r="BP1154" s="50"/>
      <c r="BQ1154" s="50"/>
      <c r="BR1154" s="50"/>
      <c r="BS1154" s="111"/>
      <c r="BT1154" s="50"/>
      <c r="BU1154" s="50"/>
      <c r="BV1154" s="50"/>
      <c r="BW1154" s="50"/>
      <c r="BX1154" s="50"/>
      <c r="BY1154" s="50"/>
      <c r="BZ1154" s="50"/>
      <c r="CA1154" s="50"/>
      <c r="CB1154" s="50"/>
      <c r="CC1154" s="50"/>
      <c r="CD1154" s="50"/>
      <c r="CE1154" s="50"/>
      <c r="CF1154" s="50"/>
      <c r="CG1154" s="50"/>
      <c r="CH1154" s="50"/>
      <c r="CI1154" s="50"/>
      <c r="CJ1154" s="50"/>
      <c r="CK1154" s="50"/>
      <c r="CL1154" s="50"/>
      <c r="CM1154" s="50"/>
      <c r="CN1154" s="50"/>
      <c r="CO1154" s="50"/>
      <c r="CP1154" s="50"/>
      <c r="CQ1154" s="50"/>
      <c r="CR1154" s="50"/>
      <c r="CS1154" s="50"/>
    </row>
    <row r="1155" spans="1:97" ht="15" thickBot="1">
      <c r="A1155" s="49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111"/>
      <c r="O1155" s="111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1"/>
      <c r="AF1155" s="111"/>
      <c r="AG1155" s="111"/>
      <c r="AH1155" s="111"/>
      <c r="AI1155" s="111"/>
      <c r="AJ1155" s="111"/>
      <c r="AK1155" s="111"/>
      <c r="AL1155" s="111"/>
      <c r="AM1155" s="111"/>
      <c r="AN1155" s="111"/>
      <c r="AO1155" s="111"/>
      <c r="AP1155" s="111"/>
      <c r="AQ1155" s="111"/>
      <c r="AR1155" s="111"/>
      <c r="AS1155" s="111"/>
      <c r="AT1155" s="111"/>
      <c r="AU1155" s="111"/>
      <c r="AV1155" s="50"/>
      <c r="AW1155" s="50"/>
      <c r="AX1155" s="50"/>
      <c r="AY1155" s="50"/>
      <c r="AZ1155" s="50"/>
      <c r="BA1155" s="50"/>
      <c r="BB1155" s="50"/>
      <c r="BC1155" s="50"/>
      <c r="BD1155" s="50"/>
      <c r="BE1155" s="50"/>
      <c r="BF1155" s="50"/>
      <c r="BG1155" s="50"/>
      <c r="BH1155" s="50"/>
      <c r="BI1155" s="50"/>
      <c r="BJ1155" s="50"/>
      <c r="BK1155" s="50"/>
      <c r="BL1155" s="50"/>
      <c r="BM1155" s="50"/>
      <c r="BN1155" s="50"/>
      <c r="BO1155" s="50"/>
      <c r="BP1155" s="50"/>
      <c r="BQ1155" s="50"/>
      <c r="BR1155" s="50"/>
      <c r="BS1155" s="111"/>
      <c r="BT1155" s="50"/>
      <c r="BU1155" s="50"/>
      <c r="BV1155" s="50"/>
      <c r="BW1155" s="50"/>
      <c r="BX1155" s="50"/>
      <c r="BY1155" s="50"/>
      <c r="BZ1155" s="50"/>
      <c r="CA1155" s="50"/>
      <c r="CB1155" s="50"/>
      <c r="CC1155" s="50"/>
      <c r="CD1155" s="50"/>
      <c r="CE1155" s="50"/>
      <c r="CF1155" s="50"/>
      <c r="CG1155" s="50"/>
      <c r="CH1155" s="50"/>
      <c r="CI1155" s="50"/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</row>
    <row r="1156" spans="1:97" ht="15" thickBot="1">
      <c r="A1156" s="49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111"/>
      <c r="O1156" s="111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1"/>
      <c r="AF1156" s="111"/>
      <c r="AG1156" s="111"/>
      <c r="AH1156" s="111"/>
      <c r="AI1156" s="111"/>
      <c r="AJ1156" s="111"/>
      <c r="AK1156" s="111"/>
      <c r="AL1156" s="111"/>
      <c r="AM1156" s="111"/>
      <c r="AN1156" s="111"/>
      <c r="AO1156" s="111"/>
      <c r="AP1156" s="111"/>
      <c r="AQ1156" s="111"/>
      <c r="AR1156" s="111"/>
      <c r="AS1156" s="111"/>
      <c r="AT1156" s="111"/>
      <c r="AU1156" s="111"/>
      <c r="AV1156" s="50"/>
      <c r="AW1156" s="50"/>
      <c r="AX1156" s="50"/>
      <c r="AY1156" s="50"/>
      <c r="AZ1156" s="50"/>
      <c r="BA1156" s="50"/>
      <c r="BB1156" s="50"/>
      <c r="BC1156" s="50"/>
      <c r="BD1156" s="50"/>
      <c r="BE1156" s="50"/>
      <c r="BF1156" s="50"/>
      <c r="BG1156" s="50"/>
      <c r="BH1156" s="50"/>
      <c r="BI1156" s="50"/>
      <c r="BJ1156" s="50"/>
      <c r="BK1156" s="50"/>
      <c r="BL1156" s="50"/>
      <c r="BM1156" s="50"/>
      <c r="BN1156" s="50"/>
      <c r="BO1156" s="50"/>
      <c r="BP1156" s="50"/>
      <c r="BQ1156" s="50"/>
      <c r="BR1156" s="50"/>
      <c r="BS1156" s="111"/>
      <c r="BT1156" s="50"/>
      <c r="BU1156" s="50"/>
      <c r="BV1156" s="50"/>
      <c r="BW1156" s="50"/>
      <c r="BX1156" s="50"/>
      <c r="BY1156" s="50"/>
      <c r="BZ1156" s="50"/>
      <c r="CA1156" s="50"/>
      <c r="CB1156" s="50"/>
      <c r="CC1156" s="50"/>
      <c r="CD1156" s="50"/>
      <c r="CE1156" s="50"/>
      <c r="CF1156" s="50"/>
      <c r="CG1156" s="50"/>
      <c r="CH1156" s="50"/>
      <c r="CI1156" s="50"/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</row>
    <row r="1157" spans="1:97" ht="15" thickBot="1">
      <c r="A1157" s="49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111"/>
      <c r="O1157" s="111"/>
      <c r="P1157" s="111"/>
      <c r="Q1157" s="111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1"/>
      <c r="AF1157" s="111"/>
      <c r="AG1157" s="111"/>
      <c r="AH1157" s="111"/>
      <c r="AI1157" s="111"/>
      <c r="AJ1157" s="111"/>
      <c r="AK1157" s="111"/>
      <c r="AL1157" s="111"/>
      <c r="AM1157" s="111"/>
      <c r="AN1157" s="111"/>
      <c r="AO1157" s="111"/>
      <c r="AP1157" s="111"/>
      <c r="AQ1157" s="111"/>
      <c r="AR1157" s="111"/>
      <c r="AS1157" s="111"/>
      <c r="AT1157" s="111"/>
      <c r="AU1157" s="111"/>
      <c r="AV1157" s="50"/>
      <c r="AW1157" s="50"/>
      <c r="AX1157" s="50"/>
      <c r="AY1157" s="50"/>
      <c r="AZ1157" s="50"/>
      <c r="BA1157" s="50"/>
      <c r="BB1157" s="50"/>
      <c r="BC1157" s="50"/>
      <c r="BD1157" s="50"/>
      <c r="BE1157" s="50"/>
      <c r="BF1157" s="50"/>
      <c r="BG1157" s="50"/>
      <c r="BH1157" s="50"/>
      <c r="BI1157" s="50"/>
      <c r="BJ1157" s="50"/>
      <c r="BK1157" s="50"/>
      <c r="BL1157" s="50"/>
      <c r="BM1157" s="50"/>
      <c r="BN1157" s="50"/>
      <c r="BO1157" s="50"/>
      <c r="BP1157" s="50"/>
      <c r="BQ1157" s="50"/>
      <c r="BR1157" s="50"/>
      <c r="BS1157" s="111"/>
      <c r="BT1157" s="50"/>
      <c r="BU1157" s="50"/>
      <c r="BV1157" s="50"/>
      <c r="BW1157" s="50"/>
      <c r="BX1157" s="50"/>
      <c r="BY1157" s="50"/>
      <c r="BZ1157" s="50"/>
      <c r="CA1157" s="50"/>
      <c r="CB1157" s="50"/>
      <c r="CC1157" s="50"/>
      <c r="CD1157" s="50"/>
      <c r="CE1157" s="50"/>
      <c r="CF1157" s="50"/>
      <c r="CG1157" s="50"/>
      <c r="CH1157" s="50"/>
      <c r="CI1157" s="50"/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</row>
    <row r="1158" spans="1:97" ht="15" thickBot="1">
      <c r="A1158" s="49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111"/>
      <c r="O1158" s="111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1"/>
      <c r="AF1158" s="111"/>
      <c r="AG1158" s="111"/>
      <c r="AH1158" s="111"/>
      <c r="AI1158" s="111"/>
      <c r="AJ1158" s="111"/>
      <c r="AK1158" s="111"/>
      <c r="AL1158" s="111"/>
      <c r="AM1158" s="111"/>
      <c r="AN1158" s="111"/>
      <c r="AO1158" s="111"/>
      <c r="AP1158" s="111"/>
      <c r="AQ1158" s="111"/>
      <c r="AR1158" s="111"/>
      <c r="AS1158" s="111"/>
      <c r="AT1158" s="111"/>
      <c r="AU1158" s="111"/>
      <c r="AV1158" s="50"/>
      <c r="AW1158" s="50"/>
      <c r="AX1158" s="50"/>
      <c r="AY1158" s="50"/>
      <c r="AZ1158" s="50"/>
      <c r="BA1158" s="50"/>
      <c r="BB1158" s="50"/>
      <c r="BC1158" s="50"/>
      <c r="BD1158" s="50"/>
      <c r="BE1158" s="50"/>
      <c r="BF1158" s="50"/>
      <c r="BG1158" s="50"/>
      <c r="BH1158" s="50"/>
      <c r="BI1158" s="50"/>
      <c r="BJ1158" s="50"/>
      <c r="BK1158" s="50"/>
      <c r="BL1158" s="50"/>
      <c r="BM1158" s="50"/>
      <c r="BN1158" s="50"/>
      <c r="BO1158" s="50"/>
      <c r="BP1158" s="50"/>
      <c r="BQ1158" s="50"/>
      <c r="BR1158" s="50"/>
      <c r="BS1158" s="111"/>
      <c r="BT1158" s="50"/>
      <c r="BU1158" s="50"/>
      <c r="BV1158" s="50"/>
      <c r="BW1158" s="50"/>
      <c r="BX1158" s="50"/>
      <c r="BY1158" s="50"/>
      <c r="BZ1158" s="50"/>
      <c r="CA1158" s="50"/>
      <c r="CB1158" s="50"/>
      <c r="CC1158" s="50"/>
      <c r="CD1158" s="50"/>
      <c r="CE1158" s="50"/>
      <c r="CF1158" s="50"/>
      <c r="CG1158" s="50"/>
      <c r="CH1158" s="50"/>
      <c r="CI1158" s="50"/>
      <c r="CJ1158" s="50"/>
      <c r="CK1158" s="50"/>
      <c r="CL1158" s="50"/>
      <c r="CM1158" s="50"/>
      <c r="CN1158" s="50"/>
      <c r="CO1158" s="50"/>
      <c r="CP1158" s="50"/>
      <c r="CQ1158" s="50"/>
      <c r="CR1158" s="50"/>
      <c r="CS1158" s="50"/>
    </row>
    <row r="1159" spans="1:97" ht="15" thickBot="1">
      <c r="A1159" s="49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111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1"/>
      <c r="AF1159" s="111"/>
      <c r="AG1159" s="111"/>
      <c r="AH1159" s="111"/>
      <c r="AI1159" s="111"/>
      <c r="AJ1159" s="111"/>
      <c r="AK1159" s="111"/>
      <c r="AL1159" s="111"/>
      <c r="AM1159" s="111"/>
      <c r="AN1159" s="111"/>
      <c r="AO1159" s="111"/>
      <c r="AP1159" s="111"/>
      <c r="AQ1159" s="111"/>
      <c r="AR1159" s="111"/>
      <c r="AS1159" s="111"/>
      <c r="AT1159" s="111"/>
      <c r="AU1159" s="111"/>
      <c r="AV1159" s="50"/>
      <c r="AW1159" s="50"/>
      <c r="AX1159" s="50"/>
      <c r="AY1159" s="50"/>
      <c r="AZ1159" s="50"/>
      <c r="BA1159" s="50"/>
      <c r="BB1159" s="50"/>
      <c r="BC1159" s="50"/>
      <c r="BD1159" s="50"/>
      <c r="BE1159" s="50"/>
      <c r="BF1159" s="50"/>
      <c r="BG1159" s="50"/>
      <c r="BH1159" s="50"/>
      <c r="BI1159" s="50"/>
      <c r="BJ1159" s="50"/>
      <c r="BK1159" s="50"/>
      <c r="BL1159" s="50"/>
      <c r="BM1159" s="50"/>
      <c r="BN1159" s="50"/>
      <c r="BO1159" s="50"/>
      <c r="BP1159" s="50"/>
      <c r="BQ1159" s="50"/>
      <c r="BR1159" s="50"/>
      <c r="BS1159" s="111"/>
      <c r="BT1159" s="50"/>
      <c r="BU1159" s="50"/>
      <c r="BV1159" s="50"/>
      <c r="BW1159" s="50"/>
      <c r="BX1159" s="50"/>
      <c r="BY1159" s="50"/>
      <c r="BZ1159" s="50"/>
      <c r="CA1159" s="50"/>
      <c r="CB1159" s="50"/>
      <c r="CC1159" s="50"/>
      <c r="CD1159" s="50"/>
      <c r="CE1159" s="50"/>
      <c r="CF1159" s="50"/>
      <c r="CG1159" s="50"/>
      <c r="CH1159" s="50"/>
      <c r="CI1159" s="50"/>
      <c r="CJ1159" s="50"/>
      <c r="CK1159" s="50"/>
      <c r="CL1159" s="50"/>
      <c r="CM1159" s="50"/>
      <c r="CN1159" s="50"/>
      <c r="CO1159" s="50"/>
      <c r="CP1159" s="50"/>
      <c r="CQ1159" s="50"/>
      <c r="CR1159" s="50"/>
      <c r="CS1159" s="50"/>
    </row>
    <row r="1160" spans="1:97" ht="15" thickBot="1">
      <c r="A1160" s="49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111"/>
      <c r="O1160" s="111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1"/>
      <c r="AF1160" s="111"/>
      <c r="AG1160" s="111"/>
      <c r="AH1160" s="111"/>
      <c r="AI1160" s="111"/>
      <c r="AJ1160" s="111"/>
      <c r="AK1160" s="111"/>
      <c r="AL1160" s="111"/>
      <c r="AM1160" s="111"/>
      <c r="AN1160" s="111"/>
      <c r="AO1160" s="111"/>
      <c r="AP1160" s="111"/>
      <c r="AQ1160" s="111"/>
      <c r="AR1160" s="111"/>
      <c r="AS1160" s="111"/>
      <c r="AT1160" s="111"/>
      <c r="AU1160" s="111"/>
      <c r="AV1160" s="50"/>
      <c r="AW1160" s="50"/>
      <c r="AX1160" s="50"/>
      <c r="AY1160" s="50"/>
      <c r="AZ1160" s="50"/>
      <c r="BA1160" s="50"/>
      <c r="BB1160" s="50"/>
      <c r="BC1160" s="50"/>
      <c r="BD1160" s="50"/>
      <c r="BE1160" s="50"/>
      <c r="BF1160" s="50"/>
      <c r="BG1160" s="50"/>
      <c r="BH1160" s="50"/>
      <c r="BI1160" s="50"/>
      <c r="BJ1160" s="50"/>
      <c r="BK1160" s="50"/>
      <c r="BL1160" s="50"/>
      <c r="BM1160" s="50"/>
      <c r="BN1160" s="50"/>
      <c r="BO1160" s="50"/>
      <c r="BP1160" s="50"/>
      <c r="BQ1160" s="50"/>
      <c r="BR1160" s="50"/>
      <c r="BS1160" s="111"/>
      <c r="BT1160" s="50"/>
      <c r="BU1160" s="50"/>
      <c r="BV1160" s="50"/>
      <c r="BW1160" s="50"/>
      <c r="BX1160" s="50"/>
      <c r="BY1160" s="50"/>
      <c r="BZ1160" s="50"/>
      <c r="CA1160" s="50"/>
      <c r="CB1160" s="50"/>
      <c r="CC1160" s="50"/>
      <c r="CD1160" s="50"/>
      <c r="CE1160" s="50"/>
      <c r="CF1160" s="50"/>
      <c r="CG1160" s="50"/>
      <c r="CH1160" s="50"/>
      <c r="CI1160" s="50"/>
      <c r="CJ1160" s="50"/>
      <c r="CK1160" s="50"/>
      <c r="CL1160" s="50"/>
      <c r="CM1160" s="50"/>
      <c r="CN1160" s="50"/>
      <c r="CO1160" s="50"/>
      <c r="CP1160" s="50"/>
      <c r="CQ1160" s="50"/>
      <c r="CR1160" s="50"/>
      <c r="CS1160" s="50"/>
    </row>
    <row r="1161" spans="1:97" ht="15" thickBot="1">
      <c r="A1161" s="49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111"/>
      <c r="O1161" s="111"/>
      <c r="P1161" s="111"/>
      <c r="Q1161" s="111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1"/>
      <c r="AF1161" s="111"/>
      <c r="AG1161" s="111"/>
      <c r="AH1161" s="111"/>
      <c r="AI1161" s="111"/>
      <c r="AJ1161" s="111"/>
      <c r="AK1161" s="111"/>
      <c r="AL1161" s="111"/>
      <c r="AM1161" s="111"/>
      <c r="AN1161" s="111"/>
      <c r="AO1161" s="111"/>
      <c r="AP1161" s="111"/>
      <c r="AQ1161" s="111"/>
      <c r="AR1161" s="111"/>
      <c r="AS1161" s="111"/>
      <c r="AT1161" s="111"/>
      <c r="AU1161" s="111"/>
      <c r="AV1161" s="50"/>
      <c r="AW1161" s="50"/>
      <c r="AX1161" s="50"/>
      <c r="AY1161" s="50"/>
      <c r="AZ1161" s="50"/>
      <c r="BA1161" s="50"/>
      <c r="BB1161" s="50"/>
      <c r="BC1161" s="50"/>
      <c r="BD1161" s="50"/>
      <c r="BE1161" s="50"/>
      <c r="BF1161" s="50"/>
      <c r="BG1161" s="50"/>
      <c r="BH1161" s="50"/>
      <c r="BI1161" s="50"/>
      <c r="BJ1161" s="50"/>
      <c r="BK1161" s="50"/>
      <c r="BL1161" s="50"/>
      <c r="BM1161" s="50"/>
      <c r="BN1161" s="50"/>
      <c r="BO1161" s="50"/>
      <c r="BP1161" s="50"/>
      <c r="BQ1161" s="50"/>
      <c r="BR1161" s="50"/>
      <c r="BS1161" s="111"/>
      <c r="BT1161" s="50"/>
      <c r="BU1161" s="50"/>
      <c r="BV1161" s="50"/>
      <c r="BW1161" s="50"/>
      <c r="BX1161" s="50"/>
      <c r="BY1161" s="50"/>
      <c r="BZ1161" s="50"/>
      <c r="CA1161" s="50"/>
      <c r="CB1161" s="50"/>
      <c r="CC1161" s="50"/>
      <c r="CD1161" s="50"/>
      <c r="CE1161" s="50"/>
      <c r="CF1161" s="50"/>
      <c r="CG1161" s="50"/>
      <c r="CH1161" s="50"/>
      <c r="CI1161" s="50"/>
      <c r="CJ1161" s="50"/>
      <c r="CK1161" s="50"/>
      <c r="CL1161" s="50"/>
      <c r="CM1161" s="50"/>
      <c r="CN1161" s="50"/>
      <c r="CO1161" s="50"/>
      <c r="CP1161" s="50"/>
      <c r="CQ1161" s="50"/>
      <c r="CR1161" s="50"/>
      <c r="CS1161" s="50"/>
    </row>
    <row r="1162" spans="1:97" ht="15" thickBot="1">
      <c r="A1162" s="49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111"/>
      <c r="O1162" s="111"/>
      <c r="P1162" s="111"/>
      <c r="Q1162" s="111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1"/>
      <c r="AF1162" s="111"/>
      <c r="AG1162" s="111"/>
      <c r="AH1162" s="111"/>
      <c r="AI1162" s="111"/>
      <c r="AJ1162" s="111"/>
      <c r="AK1162" s="111"/>
      <c r="AL1162" s="111"/>
      <c r="AM1162" s="111"/>
      <c r="AN1162" s="111"/>
      <c r="AO1162" s="111"/>
      <c r="AP1162" s="111"/>
      <c r="AQ1162" s="111"/>
      <c r="AR1162" s="111"/>
      <c r="AS1162" s="111"/>
      <c r="AT1162" s="111"/>
      <c r="AU1162" s="111"/>
      <c r="AV1162" s="50"/>
      <c r="AW1162" s="50"/>
      <c r="AX1162" s="50"/>
      <c r="AY1162" s="50"/>
      <c r="AZ1162" s="50"/>
      <c r="BA1162" s="50"/>
      <c r="BB1162" s="50"/>
      <c r="BC1162" s="50"/>
      <c r="BD1162" s="50"/>
      <c r="BE1162" s="50"/>
      <c r="BF1162" s="50"/>
      <c r="BG1162" s="50"/>
      <c r="BH1162" s="50"/>
      <c r="BI1162" s="50"/>
      <c r="BJ1162" s="50"/>
      <c r="BK1162" s="50"/>
      <c r="BL1162" s="50"/>
      <c r="BM1162" s="50"/>
      <c r="BN1162" s="50"/>
      <c r="BO1162" s="50"/>
      <c r="BP1162" s="50"/>
      <c r="BQ1162" s="50"/>
      <c r="BR1162" s="50"/>
      <c r="BS1162" s="111"/>
      <c r="BT1162" s="50"/>
      <c r="BU1162" s="50"/>
      <c r="BV1162" s="50"/>
      <c r="BW1162" s="50"/>
      <c r="BX1162" s="50"/>
      <c r="BY1162" s="50"/>
      <c r="BZ1162" s="50"/>
      <c r="CA1162" s="50"/>
      <c r="CB1162" s="50"/>
      <c r="CC1162" s="50"/>
      <c r="CD1162" s="50"/>
      <c r="CE1162" s="50"/>
      <c r="CF1162" s="50"/>
      <c r="CG1162" s="50"/>
      <c r="CH1162" s="50"/>
      <c r="CI1162" s="50"/>
      <c r="CJ1162" s="50"/>
      <c r="CK1162" s="50"/>
      <c r="CL1162" s="50"/>
      <c r="CM1162" s="50"/>
      <c r="CN1162" s="50"/>
      <c r="CO1162" s="50"/>
      <c r="CP1162" s="50"/>
      <c r="CQ1162" s="50"/>
      <c r="CR1162" s="50"/>
      <c r="CS1162" s="50"/>
    </row>
    <row r="1163" spans="1:97" ht="15" thickBot="1">
      <c r="A1163" s="49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111"/>
      <c r="O1163" s="111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1"/>
      <c r="AF1163" s="111"/>
      <c r="AG1163" s="111"/>
      <c r="AH1163" s="111"/>
      <c r="AI1163" s="111"/>
      <c r="AJ1163" s="111"/>
      <c r="AK1163" s="111"/>
      <c r="AL1163" s="111"/>
      <c r="AM1163" s="111"/>
      <c r="AN1163" s="111"/>
      <c r="AO1163" s="111"/>
      <c r="AP1163" s="111"/>
      <c r="AQ1163" s="111"/>
      <c r="AR1163" s="111"/>
      <c r="AS1163" s="111"/>
      <c r="AT1163" s="111"/>
      <c r="AU1163" s="111"/>
      <c r="AV1163" s="50"/>
      <c r="AW1163" s="50"/>
      <c r="AX1163" s="50"/>
      <c r="AY1163" s="50"/>
      <c r="AZ1163" s="50"/>
      <c r="BA1163" s="50"/>
      <c r="BB1163" s="50"/>
      <c r="BC1163" s="50"/>
      <c r="BD1163" s="50"/>
      <c r="BE1163" s="50"/>
      <c r="BF1163" s="50"/>
      <c r="BG1163" s="50"/>
      <c r="BH1163" s="50"/>
      <c r="BI1163" s="50"/>
      <c r="BJ1163" s="50"/>
      <c r="BK1163" s="50"/>
      <c r="BL1163" s="50"/>
      <c r="BM1163" s="50"/>
      <c r="BN1163" s="50"/>
      <c r="BO1163" s="50"/>
      <c r="BP1163" s="50"/>
      <c r="BQ1163" s="50"/>
      <c r="BR1163" s="50"/>
      <c r="BS1163" s="111"/>
      <c r="BT1163" s="50"/>
      <c r="BU1163" s="50"/>
      <c r="BV1163" s="50"/>
      <c r="BW1163" s="50"/>
      <c r="BX1163" s="50"/>
      <c r="BY1163" s="50"/>
      <c r="BZ1163" s="50"/>
      <c r="CA1163" s="50"/>
      <c r="CB1163" s="50"/>
      <c r="CC1163" s="50"/>
      <c r="CD1163" s="50"/>
      <c r="CE1163" s="50"/>
      <c r="CF1163" s="50"/>
      <c r="CG1163" s="50"/>
      <c r="CH1163" s="50"/>
      <c r="CI1163" s="50"/>
      <c r="CJ1163" s="50"/>
      <c r="CK1163" s="50"/>
      <c r="CL1163" s="50"/>
      <c r="CM1163" s="50"/>
      <c r="CN1163" s="50"/>
      <c r="CO1163" s="50"/>
      <c r="CP1163" s="50"/>
      <c r="CQ1163" s="50"/>
      <c r="CR1163" s="50"/>
      <c r="CS1163" s="50"/>
    </row>
    <row r="1164" spans="1:97" ht="15" thickBot="1">
      <c r="A1164" s="49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111"/>
      <c r="O1164" s="111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1"/>
      <c r="AF1164" s="111"/>
      <c r="AG1164" s="111"/>
      <c r="AH1164" s="111"/>
      <c r="AI1164" s="111"/>
      <c r="AJ1164" s="111"/>
      <c r="AK1164" s="111"/>
      <c r="AL1164" s="111"/>
      <c r="AM1164" s="111"/>
      <c r="AN1164" s="111"/>
      <c r="AO1164" s="111"/>
      <c r="AP1164" s="111"/>
      <c r="AQ1164" s="111"/>
      <c r="AR1164" s="111"/>
      <c r="AS1164" s="111"/>
      <c r="AT1164" s="111"/>
      <c r="AU1164" s="111"/>
      <c r="AV1164" s="50"/>
      <c r="AW1164" s="50"/>
      <c r="AX1164" s="50"/>
      <c r="AY1164" s="50"/>
      <c r="AZ1164" s="50"/>
      <c r="BA1164" s="50"/>
      <c r="BB1164" s="50"/>
      <c r="BC1164" s="50"/>
      <c r="BD1164" s="50"/>
      <c r="BE1164" s="50"/>
      <c r="BF1164" s="50"/>
      <c r="BG1164" s="50"/>
      <c r="BH1164" s="50"/>
      <c r="BI1164" s="50"/>
      <c r="BJ1164" s="50"/>
      <c r="BK1164" s="50"/>
      <c r="BL1164" s="50"/>
      <c r="BM1164" s="50"/>
      <c r="BN1164" s="50"/>
      <c r="BO1164" s="50"/>
      <c r="BP1164" s="50"/>
      <c r="BQ1164" s="50"/>
      <c r="BR1164" s="50"/>
      <c r="BS1164" s="111"/>
      <c r="BT1164" s="50"/>
      <c r="BU1164" s="50"/>
      <c r="BV1164" s="50"/>
      <c r="BW1164" s="50"/>
      <c r="BX1164" s="50"/>
      <c r="BY1164" s="50"/>
      <c r="BZ1164" s="50"/>
      <c r="CA1164" s="50"/>
      <c r="CB1164" s="50"/>
      <c r="CC1164" s="50"/>
      <c r="CD1164" s="50"/>
      <c r="CE1164" s="50"/>
      <c r="CF1164" s="50"/>
      <c r="CG1164" s="50"/>
      <c r="CH1164" s="50"/>
      <c r="CI1164" s="50"/>
      <c r="CJ1164" s="50"/>
      <c r="CK1164" s="50"/>
      <c r="CL1164" s="50"/>
      <c r="CM1164" s="50"/>
      <c r="CN1164" s="50"/>
      <c r="CO1164" s="50"/>
      <c r="CP1164" s="50"/>
      <c r="CQ1164" s="50"/>
      <c r="CR1164" s="50"/>
      <c r="CS1164" s="50"/>
    </row>
    <row r="1165" spans="1:97" ht="15" thickBot="1">
      <c r="A1165" s="49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111"/>
      <c r="O1165" s="111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1"/>
      <c r="AF1165" s="111"/>
      <c r="AG1165" s="111"/>
      <c r="AH1165" s="111"/>
      <c r="AI1165" s="111"/>
      <c r="AJ1165" s="111"/>
      <c r="AK1165" s="111"/>
      <c r="AL1165" s="111"/>
      <c r="AM1165" s="111"/>
      <c r="AN1165" s="111"/>
      <c r="AO1165" s="111"/>
      <c r="AP1165" s="111"/>
      <c r="AQ1165" s="111"/>
      <c r="AR1165" s="111"/>
      <c r="AS1165" s="111"/>
      <c r="AT1165" s="111"/>
      <c r="AU1165" s="111"/>
      <c r="AV1165" s="50"/>
      <c r="AW1165" s="50"/>
      <c r="AX1165" s="50"/>
      <c r="AY1165" s="50"/>
      <c r="AZ1165" s="50"/>
      <c r="BA1165" s="50"/>
      <c r="BB1165" s="50"/>
      <c r="BC1165" s="50"/>
      <c r="BD1165" s="50"/>
      <c r="BE1165" s="50"/>
      <c r="BF1165" s="50"/>
      <c r="BG1165" s="50"/>
      <c r="BH1165" s="50"/>
      <c r="BI1165" s="50"/>
      <c r="BJ1165" s="50"/>
      <c r="BK1165" s="50"/>
      <c r="BL1165" s="50"/>
      <c r="BM1165" s="50"/>
      <c r="BN1165" s="50"/>
      <c r="BO1165" s="50"/>
      <c r="BP1165" s="50"/>
      <c r="BQ1165" s="50"/>
      <c r="BR1165" s="50"/>
      <c r="BS1165" s="111"/>
      <c r="BT1165" s="50"/>
      <c r="BU1165" s="50"/>
      <c r="BV1165" s="50"/>
      <c r="BW1165" s="50"/>
      <c r="BX1165" s="50"/>
      <c r="BY1165" s="50"/>
      <c r="BZ1165" s="50"/>
      <c r="CA1165" s="50"/>
      <c r="CB1165" s="50"/>
      <c r="CC1165" s="50"/>
      <c r="CD1165" s="50"/>
      <c r="CE1165" s="50"/>
      <c r="CF1165" s="50"/>
      <c r="CG1165" s="50"/>
      <c r="CH1165" s="50"/>
      <c r="CI1165" s="50"/>
      <c r="CJ1165" s="50"/>
      <c r="CK1165" s="50"/>
      <c r="CL1165" s="50"/>
      <c r="CM1165" s="50"/>
      <c r="CN1165" s="50"/>
      <c r="CO1165" s="50"/>
      <c r="CP1165" s="50"/>
      <c r="CQ1165" s="50"/>
      <c r="CR1165" s="50"/>
      <c r="CS1165" s="50"/>
    </row>
    <row r="1166" spans="1:97" ht="15" thickBot="1">
      <c r="A1166" s="49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111"/>
      <c r="O1166" s="111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1"/>
      <c r="AF1166" s="111"/>
      <c r="AG1166" s="111"/>
      <c r="AH1166" s="111"/>
      <c r="AI1166" s="111"/>
      <c r="AJ1166" s="111"/>
      <c r="AK1166" s="111"/>
      <c r="AL1166" s="111"/>
      <c r="AM1166" s="111"/>
      <c r="AN1166" s="111"/>
      <c r="AO1166" s="111"/>
      <c r="AP1166" s="111"/>
      <c r="AQ1166" s="111"/>
      <c r="AR1166" s="111"/>
      <c r="AS1166" s="111"/>
      <c r="AT1166" s="111"/>
      <c r="AU1166" s="111"/>
      <c r="AV1166" s="50"/>
      <c r="AW1166" s="50"/>
      <c r="AX1166" s="50"/>
      <c r="AY1166" s="50"/>
      <c r="AZ1166" s="50"/>
      <c r="BA1166" s="50"/>
      <c r="BB1166" s="50"/>
      <c r="BC1166" s="50"/>
      <c r="BD1166" s="50"/>
      <c r="BE1166" s="50"/>
      <c r="BF1166" s="50"/>
      <c r="BG1166" s="50"/>
      <c r="BH1166" s="50"/>
      <c r="BI1166" s="50"/>
      <c r="BJ1166" s="50"/>
      <c r="BK1166" s="50"/>
      <c r="BL1166" s="50"/>
      <c r="BM1166" s="50"/>
      <c r="BN1166" s="50"/>
      <c r="BO1166" s="50"/>
      <c r="BP1166" s="50"/>
      <c r="BQ1166" s="50"/>
      <c r="BR1166" s="50"/>
      <c r="BS1166" s="111"/>
      <c r="BT1166" s="50"/>
      <c r="BU1166" s="50"/>
      <c r="BV1166" s="50"/>
      <c r="BW1166" s="50"/>
      <c r="BX1166" s="50"/>
      <c r="BY1166" s="50"/>
      <c r="BZ1166" s="50"/>
      <c r="CA1166" s="50"/>
      <c r="CB1166" s="50"/>
      <c r="CC1166" s="50"/>
      <c r="CD1166" s="50"/>
      <c r="CE1166" s="50"/>
      <c r="CF1166" s="50"/>
      <c r="CG1166" s="50"/>
      <c r="CH1166" s="50"/>
      <c r="CI1166" s="50"/>
      <c r="CJ1166" s="50"/>
      <c r="CK1166" s="50"/>
      <c r="CL1166" s="50"/>
      <c r="CM1166" s="50"/>
      <c r="CN1166" s="50"/>
      <c r="CO1166" s="50"/>
      <c r="CP1166" s="50"/>
      <c r="CQ1166" s="50"/>
      <c r="CR1166" s="50"/>
      <c r="CS1166" s="50"/>
    </row>
    <row r="1167" spans="1:97" ht="15" thickBot="1">
      <c r="A1167" s="49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111"/>
      <c r="O1167" s="111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1"/>
      <c r="AF1167" s="111"/>
      <c r="AG1167" s="111"/>
      <c r="AH1167" s="111"/>
      <c r="AI1167" s="111"/>
      <c r="AJ1167" s="111"/>
      <c r="AK1167" s="111"/>
      <c r="AL1167" s="111"/>
      <c r="AM1167" s="111"/>
      <c r="AN1167" s="111"/>
      <c r="AO1167" s="111"/>
      <c r="AP1167" s="111"/>
      <c r="AQ1167" s="111"/>
      <c r="AR1167" s="111"/>
      <c r="AS1167" s="111"/>
      <c r="AT1167" s="111"/>
      <c r="AU1167" s="111"/>
      <c r="AV1167" s="50"/>
      <c r="AW1167" s="50"/>
      <c r="AX1167" s="50"/>
      <c r="AY1167" s="50"/>
      <c r="AZ1167" s="50"/>
      <c r="BA1167" s="50"/>
      <c r="BB1167" s="50"/>
      <c r="BC1167" s="50"/>
      <c r="BD1167" s="50"/>
      <c r="BE1167" s="50"/>
      <c r="BF1167" s="50"/>
      <c r="BG1167" s="50"/>
      <c r="BH1167" s="50"/>
      <c r="BI1167" s="50"/>
      <c r="BJ1167" s="50"/>
      <c r="BK1167" s="50"/>
      <c r="BL1167" s="50"/>
      <c r="BM1167" s="50"/>
      <c r="BN1167" s="50"/>
      <c r="BO1167" s="50"/>
      <c r="BP1167" s="50"/>
      <c r="BQ1167" s="50"/>
      <c r="BR1167" s="50"/>
      <c r="BS1167" s="111"/>
      <c r="BT1167" s="50"/>
      <c r="BU1167" s="50"/>
      <c r="BV1167" s="50"/>
      <c r="BW1167" s="50"/>
      <c r="BX1167" s="50"/>
      <c r="BY1167" s="50"/>
      <c r="BZ1167" s="50"/>
      <c r="CA1167" s="50"/>
      <c r="CB1167" s="50"/>
      <c r="CC1167" s="50"/>
      <c r="CD1167" s="50"/>
      <c r="CE1167" s="50"/>
      <c r="CF1167" s="50"/>
      <c r="CG1167" s="50"/>
      <c r="CH1167" s="50"/>
      <c r="CI1167" s="50"/>
      <c r="CJ1167" s="50"/>
      <c r="CK1167" s="50"/>
      <c r="CL1167" s="50"/>
      <c r="CM1167" s="50"/>
      <c r="CN1167" s="50"/>
      <c r="CO1167" s="50"/>
      <c r="CP1167" s="50"/>
      <c r="CQ1167" s="50"/>
      <c r="CR1167" s="50"/>
      <c r="CS1167" s="50"/>
    </row>
    <row r="1168" spans="1:97" ht="15" thickBot="1">
      <c r="A1168" s="49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111"/>
      <c r="O1168" s="111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1"/>
      <c r="AF1168" s="111"/>
      <c r="AG1168" s="111"/>
      <c r="AH1168" s="111"/>
      <c r="AI1168" s="111"/>
      <c r="AJ1168" s="111"/>
      <c r="AK1168" s="111"/>
      <c r="AL1168" s="111"/>
      <c r="AM1168" s="111"/>
      <c r="AN1168" s="111"/>
      <c r="AO1168" s="111"/>
      <c r="AP1168" s="111"/>
      <c r="AQ1168" s="111"/>
      <c r="AR1168" s="111"/>
      <c r="AS1168" s="111"/>
      <c r="AT1168" s="111"/>
      <c r="AU1168" s="111"/>
      <c r="AV1168" s="50"/>
      <c r="AW1168" s="50"/>
      <c r="AX1168" s="50"/>
      <c r="AY1168" s="50"/>
      <c r="AZ1168" s="50"/>
      <c r="BA1168" s="50"/>
      <c r="BB1168" s="50"/>
      <c r="BC1168" s="50"/>
      <c r="BD1168" s="50"/>
      <c r="BE1168" s="50"/>
      <c r="BF1168" s="50"/>
      <c r="BG1168" s="50"/>
      <c r="BH1168" s="50"/>
      <c r="BI1168" s="50"/>
      <c r="BJ1168" s="50"/>
      <c r="BK1168" s="50"/>
      <c r="BL1168" s="50"/>
      <c r="BM1168" s="50"/>
      <c r="BN1168" s="50"/>
      <c r="BO1168" s="50"/>
      <c r="BP1168" s="50"/>
      <c r="BQ1168" s="50"/>
      <c r="BR1168" s="50"/>
      <c r="BS1168" s="111"/>
      <c r="BT1168" s="50"/>
      <c r="BU1168" s="50"/>
      <c r="BV1168" s="50"/>
      <c r="BW1168" s="50"/>
      <c r="BX1168" s="50"/>
      <c r="BY1168" s="50"/>
      <c r="BZ1168" s="50"/>
      <c r="CA1168" s="50"/>
      <c r="CB1168" s="50"/>
      <c r="CC1168" s="50"/>
      <c r="CD1168" s="50"/>
      <c r="CE1168" s="50"/>
      <c r="CF1168" s="50"/>
      <c r="CG1168" s="50"/>
      <c r="CH1168" s="50"/>
      <c r="CI1168" s="50"/>
      <c r="CJ1168" s="50"/>
      <c r="CK1168" s="50"/>
      <c r="CL1168" s="50"/>
      <c r="CM1168" s="50"/>
      <c r="CN1168" s="50"/>
      <c r="CO1168" s="50"/>
      <c r="CP1168" s="50"/>
      <c r="CQ1168" s="50"/>
      <c r="CR1168" s="50"/>
      <c r="CS1168" s="50"/>
    </row>
    <row r="1169" spans="1:97" ht="15" thickBot="1">
      <c r="A1169" s="49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111"/>
      <c r="O1169" s="111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1"/>
      <c r="AF1169" s="111"/>
      <c r="AG1169" s="111"/>
      <c r="AH1169" s="111"/>
      <c r="AI1169" s="111"/>
      <c r="AJ1169" s="111"/>
      <c r="AK1169" s="111"/>
      <c r="AL1169" s="111"/>
      <c r="AM1169" s="111"/>
      <c r="AN1169" s="111"/>
      <c r="AO1169" s="111"/>
      <c r="AP1169" s="111"/>
      <c r="AQ1169" s="111"/>
      <c r="AR1169" s="111"/>
      <c r="AS1169" s="111"/>
      <c r="AT1169" s="111"/>
      <c r="AU1169" s="111"/>
      <c r="AV1169" s="50"/>
      <c r="AW1169" s="50"/>
      <c r="AX1169" s="50"/>
      <c r="AY1169" s="50"/>
      <c r="AZ1169" s="50"/>
      <c r="BA1169" s="50"/>
      <c r="BB1169" s="50"/>
      <c r="BC1169" s="50"/>
      <c r="BD1169" s="50"/>
      <c r="BE1169" s="50"/>
      <c r="BF1169" s="50"/>
      <c r="BG1169" s="50"/>
      <c r="BH1169" s="50"/>
      <c r="BI1169" s="50"/>
      <c r="BJ1169" s="50"/>
      <c r="BK1169" s="50"/>
      <c r="BL1169" s="50"/>
      <c r="BM1169" s="50"/>
      <c r="BN1169" s="50"/>
      <c r="BO1169" s="50"/>
      <c r="BP1169" s="50"/>
      <c r="BQ1169" s="50"/>
      <c r="BR1169" s="50"/>
      <c r="BS1169" s="111"/>
      <c r="BT1169" s="50"/>
      <c r="BU1169" s="50"/>
      <c r="BV1169" s="50"/>
      <c r="BW1169" s="50"/>
      <c r="BX1169" s="50"/>
      <c r="BY1169" s="50"/>
      <c r="BZ1169" s="50"/>
      <c r="CA1169" s="50"/>
      <c r="CB1169" s="50"/>
      <c r="CC1169" s="50"/>
      <c r="CD1169" s="50"/>
      <c r="CE1169" s="50"/>
      <c r="CF1169" s="50"/>
      <c r="CG1169" s="50"/>
      <c r="CH1169" s="50"/>
      <c r="CI1169" s="50"/>
      <c r="CJ1169" s="50"/>
      <c r="CK1169" s="50"/>
      <c r="CL1169" s="50"/>
      <c r="CM1169" s="50"/>
      <c r="CN1169" s="50"/>
      <c r="CO1169" s="50"/>
      <c r="CP1169" s="50"/>
      <c r="CQ1169" s="50"/>
      <c r="CR1169" s="50"/>
      <c r="CS1169" s="50"/>
    </row>
    <row r="1170" spans="1:97" ht="15" thickBot="1">
      <c r="A1170" s="49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111"/>
      <c r="O1170" s="111"/>
      <c r="P1170" s="111"/>
      <c r="Q1170" s="111"/>
      <c r="R1170" s="111"/>
      <c r="S1170" s="111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1"/>
      <c r="AF1170" s="111"/>
      <c r="AG1170" s="111"/>
      <c r="AH1170" s="111"/>
      <c r="AI1170" s="111"/>
      <c r="AJ1170" s="111"/>
      <c r="AK1170" s="111"/>
      <c r="AL1170" s="111"/>
      <c r="AM1170" s="111"/>
      <c r="AN1170" s="111"/>
      <c r="AO1170" s="111"/>
      <c r="AP1170" s="111"/>
      <c r="AQ1170" s="111"/>
      <c r="AR1170" s="111"/>
      <c r="AS1170" s="111"/>
      <c r="AT1170" s="111"/>
      <c r="AU1170" s="111"/>
      <c r="AV1170" s="50"/>
      <c r="AW1170" s="50"/>
      <c r="AX1170" s="50"/>
      <c r="AY1170" s="50"/>
      <c r="AZ1170" s="50"/>
      <c r="BA1170" s="50"/>
      <c r="BB1170" s="50"/>
      <c r="BC1170" s="50"/>
      <c r="BD1170" s="50"/>
      <c r="BE1170" s="50"/>
      <c r="BF1170" s="50"/>
      <c r="BG1170" s="50"/>
      <c r="BH1170" s="50"/>
      <c r="BI1170" s="50"/>
      <c r="BJ1170" s="50"/>
      <c r="BK1170" s="50"/>
      <c r="BL1170" s="50"/>
      <c r="BM1170" s="50"/>
      <c r="BN1170" s="50"/>
      <c r="BO1170" s="50"/>
      <c r="BP1170" s="50"/>
      <c r="BQ1170" s="50"/>
      <c r="BR1170" s="50"/>
      <c r="BS1170" s="111"/>
      <c r="BT1170" s="50"/>
      <c r="BU1170" s="50"/>
      <c r="BV1170" s="50"/>
      <c r="BW1170" s="50"/>
      <c r="BX1170" s="50"/>
      <c r="BY1170" s="50"/>
      <c r="BZ1170" s="50"/>
      <c r="CA1170" s="50"/>
      <c r="CB1170" s="50"/>
      <c r="CC1170" s="50"/>
      <c r="CD1170" s="50"/>
      <c r="CE1170" s="50"/>
      <c r="CF1170" s="50"/>
      <c r="CG1170" s="50"/>
      <c r="CH1170" s="50"/>
      <c r="CI1170" s="50"/>
      <c r="CJ1170" s="50"/>
      <c r="CK1170" s="50"/>
      <c r="CL1170" s="50"/>
      <c r="CM1170" s="50"/>
      <c r="CN1170" s="50"/>
      <c r="CO1170" s="50"/>
      <c r="CP1170" s="50"/>
      <c r="CQ1170" s="50"/>
      <c r="CR1170" s="50"/>
      <c r="CS1170" s="50"/>
    </row>
    <row r="1171" spans="1:97" ht="15" thickBot="1">
      <c r="A1171" s="49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111"/>
      <c r="O1171" s="111"/>
      <c r="P1171" s="111"/>
      <c r="Q1171" s="111"/>
      <c r="R1171" s="111"/>
      <c r="S1171" s="111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1"/>
      <c r="AF1171" s="111"/>
      <c r="AG1171" s="111"/>
      <c r="AH1171" s="111"/>
      <c r="AI1171" s="111"/>
      <c r="AJ1171" s="111"/>
      <c r="AK1171" s="111"/>
      <c r="AL1171" s="111"/>
      <c r="AM1171" s="111"/>
      <c r="AN1171" s="111"/>
      <c r="AO1171" s="111"/>
      <c r="AP1171" s="111"/>
      <c r="AQ1171" s="111"/>
      <c r="AR1171" s="111"/>
      <c r="AS1171" s="111"/>
      <c r="AT1171" s="111"/>
      <c r="AU1171" s="111"/>
      <c r="AV1171" s="50"/>
      <c r="AW1171" s="50"/>
      <c r="AX1171" s="50"/>
      <c r="AY1171" s="50"/>
      <c r="AZ1171" s="50"/>
      <c r="BA1171" s="50"/>
      <c r="BB1171" s="50"/>
      <c r="BC1171" s="50"/>
      <c r="BD1171" s="50"/>
      <c r="BE1171" s="50"/>
      <c r="BF1171" s="50"/>
      <c r="BG1171" s="50"/>
      <c r="BH1171" s="50"/>
      <c r="BI1171" s="50"/>
      <c r="BJ1171" s="50"/>
      <c r="BK1171" s="50"/>
      <c r="BL1171" s="50"/>
      <c r="BM1171" s="50"/>
      <c r="BN1171" s="50"/>
      <c r="BO1171" s="50"/>
      <c r="BP1171" s="50"/>
      <c r="BQ1171" s="50"/>
      <c r="BR1171" s="50"/>
      <c r="BS1171" s="111"/>
      <c r="BT1171" s="50"/>
      <c r="BU1171" s="50"/>
      <c r="BV1171" s="50"/>
      <c r="BW1171" s="50"/>
      <c r="BX1171" s="50"/>
      <c r="BY1171" s="50"/>
      <c r="BZ1171" s="50"/>
      <c r="CA1171" s="50"/>
      <c r="CB1171" s="50"/>
      <c r="CC1171" s="50"/>
      <c r="CD1171" s="50"/>
      <c r="CE1171" s="50"/>
      <c r="CF1171" s="50"/>
      <c r="CG1171" s="50"/>
      <c r="CH1171" s="50"/>
      <c r="CI1171" s="50"/>
      <c r="CJ1171" s="50"/>
      <c r="CK1171" s="50"/>
      <c r="CL1171" s="50"/>
      <c r="CM1171" s="50"/>
      <c r="CN1171" s="50"/>
      <c r="CO1171" s="50"/>
      <c r="CP1171" s="50"/>
      <c r="CQ1171" s="50"/>
      <c r="CR1171" s="50"/>
      <c r="CS1171" s="50"/>
    </row>
    <row r="1172" spans="1:97" ht="15" thickBot="1">
      <c r="A1172" s="49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111"/>
      <c r="O1172" s="111"/>
      <c r="P1172" s="111"/>
      <c r="Q1172" s="111"/>
      <c r="R1172" s="111"/>
      <c r="S1172" s="111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1"/>
      <c r="AF1172" s="111"/>
      <c r="AG1172" s="111"/>
      <c r="AH1172" s="111"/>
      <c r="AI1172" s="111"/>
      <c r="AJ1172" s="111"/>
      <c r="AK1172" s="111"/>
      <c r="AL1172" s="111"/>
      <c r="AM1172" s="111"/>
      <c r="AN1172" s="111"/>
      <c r="AO1172" s="111"/>
      <c r="AP1172" s="111"/>
      <c r="AQ1172" s="111"/>
      <c r="AR1172" s="111"/>
      <c r="AS1172" s="111"/>
      <c r="AT1172" s="111"/>
      <c r="AU1172" s="111"/>
      <c r="AV1172" s="50"/>
      <c r="AW1172" s="50"/>
      <c r="AX1172" s="50"/>
      <c r="AY1172" s="50"/>
      <c r="AZ1172" s="50"/>
      <c r="BA1172" s="50"/>
      <c r="BB1172" s="50"/>
      <c r="BC1172" s="50"/>
      <c r="BD1172" s="50"/>
      <c r="BE1172" s="50"/>
      <c r="BF1172" s="50"/>
      <c r="BG1172" s="50"/>
      <c r="BH1172" s="50"/>
      <c r="BI1172" s="50"/>
      <c r="BJ1172" s="50"/>
      <c r="BK1172" s="50"/>
      <c r="BL1172" s="50"/>
      <c r="BM1172" s="50"/>
      <c r="BN1172" s="50"/>
      <c r="BO1172" s="50"/>
      <c r="BP1172" s="50"/>
      <c r="BQ1172" s="50"/>
      <c r="BR1172" s="50"/>
      <c r="BS1172" s="111"/>
      <c r="BT1172" s="50"/>
      <c r="BU1172" s="50"/>
      <c r="BV1172" s="50"/>
      <c r="BW1172" s="50"/>
      <c r="BX1172" s="50"/>
      <c r="BY1172" s="50"/>
      <c r="BZ1172" s="50"/>
      <c r="CA1172" s="50"/>
      <c r="CB1172" s="50"/>
      <c r="CC1172" s="50"/>
      <c r="CD1172" s="50"/>
      <c r="CE1172" s="50"/>
      <c r="CF1172" s="50"/>
      <c r="CG1172" s="50"/>
      <c r="CH1172" s="50"/>
      <c r="CI1172" s="50"/>
      <c r="CJ1172" s="50"/>
      <c r="CK1172" s="50"/>
      <c r="CL1172" s="50"/>
      <c r="CM1172" s="50"/>
      <c r="CN1172" s="50"/>
      <c r="CO1172" s="50"/>
      <c r="CP1172" s="50"/>
      <c r="CQ1172" s="50"/>
      <c r="CR1172" s="50"/>
      <c r="CS1172" s="50"/>
    </row>
    <row r="1173" spans="1:97" ht="15" thickBot="1">
      <c r="A1173" s="49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111"/>
      <c r="O1173" s="111"/>
      <c r="P1173" s="111"/>
      <c r="Q1173" s="111"/>
      <c r="R1173" s="111"/>
      <c r="S1173" s="111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1"/>
      <c r="AF1173" s="111"/>
      <c r="AG1173" s="111"/>
      <c r="AH1173" s="111"/>
      <c r="AI1173" s="111"/>
      <c r="AJ1173" s="111"/>
      <c r="AK1173" s="111"/>
      <c r="AL1173" s="111"/>
      <c r="AM1173" s="111"/>
      <c r="AN1173" s="111"/>
      <c r="AO1173" s="111"/>
      <c r="AP1173" s="111"/>
      <c r="AQ1173" s="111"/>
      <c r="AR1173" s="111"/>
      <c r="AS1173" s="111"/>
      <c r="AT1173" s="111"/>
      <c r="AU1173" s="111"/>
      <c r="AV1173" s="50"/>
      <c r="AW1173" s="50"/>
      <c r="AX1173" s="50"/>
      <c r="AY1173" s="50"/>
      <c r="AZ1173" s="50"/>
      <c r="BA1173" s="50"/>
      <c r="BB1173" s="50"/>
      <c r="BC1173" s="50"/>
      <c r="BD1173" s="50"/>
      <c r="BE1173" s="50"/>
      <c r="BF1173" s="50"/>
      <c r="BG1173" s="50"/>
      <c r="BH1173" s="50"/>
      <c r="BI1173" s="50"/>
      <c r="BJ1173" s="50"/>
      <c r="BK1173" s="50"/>
      <c r="BL1173" s="50"/>
      <c r="BM1173" s="50"/>
      <c r="BN1173" s="50"/>
      <c r="BO1173" s="50"/>
      <c r="BP1173" s="50"/>
      <c r="BQ1173" s="50"/>
      <c r="BR1173" s="50"/>
      <c r="BS1173" s="111"/>
      <c r="BT1173" s="50"/>
      <c r="BU1173" s="50"/>
      <c r="BV1173" s="50"/>
      <c r="BW1173" s="50"/>
      <c r="BX1173" s="50"/>
      <c r="BY1173" s="50"/>
      <c r="BZ1173" s="50"/>
      <c r="CA1173" s="50"/>
      <c r="CB1173" s="50"/>
      <c r="CC1173" s="50"/>
      <c r="CD1173" s="50"/>
      <c r="CE1173" s="50"/>
      <c r="CF1173" s="50"/>
      <c r="CG1173" s="50"/>
      <c r="CH1173" s="50"/>
      <c r="CI1173" s="50"/>
      <c r="CJ1173" s="50"/>
      <c r="CK1173" s="50"/>
      <c r="CL1173" s="50"/>
      <c r="CM1173" s="50"/>
      <c r="CN1173" s="50"/>
      <c r="CO1173" s="50"/>
      <c r="CP1173" s="50"/>
      <c r="CQ1173" s="50"/>
      <c r="CR1173" s="50"/>
      <c r="CS1173" s="50"/>
    </row>
    <row r="1174" spans="1:97" ht="15" thickBot="1">
      <c r="A1174" s="49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111"/>
      <c r="O1174" s="111"/>
      <c r="P1174" s="111"/>
      <c r="Q1174" s="111"/>
      <c r="R1174" s="111"/>
      <c r="S1174" s="111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1"/>
      <c r="AF1174" s="111"/>
      <c r="AG1174" s="111"/>
      <c r="AH1174" s="111"/>
      <c r="AI1174" s="111"/>
      <c r="AJ1174" s="111"/>
      <c r="AK1174" s="111"/>
      <c r="AL1174" s="111"/>
      <c r="AM1174" s="111"/>
      <c r="AN1174" s="111"/>
      <c r="AO1174" s="111"/>
      <c r="AP1174" s="111"/>
      <c r="AQ1174" s="111"/>
      <c r="AR1174" s="111"/>
      <c r="AS1174" s="111"/>
      <c r="AT1174" s="111"/>
      <c r="AU1174" s="111"/>
      <c r="AV1174" s="50"/>
      <c r="AW1174" s="50"/>
      <c r="AX1174" s="50"/>
      <c r="AY1174" s="50"/>
      <c r="AZ1174" s="50"/>
      <c r="BA1174" s="50"/>
      <c r="BB1174" s="50"/>
      <c r="BC1174" s="50"/>
      <c r="BD1174" s="50"/>
      <c r="BE1174" s="50"/>
      <c r="BF1174" s="50"/>
      <c r="BG1174" s="50"/>
      <c r="BH1174" s="50"/>
      <c r="BI1174" s="50"/>
      <c r="BJ1174" s="50"/>
      <c r="BK1174" s="50"/>
      <c r="BL1174" s="50"/>
      <c r="BM1174" s="50"/>
      <c r="BN1174" s="50"/>
      <c r="BO1174" s="50"/>
      <c r="BP1174" s="50"/>
      <c r="BQ1174" s="50"/>
      <c r="BR1174" s="50"/>
      <c r="BS1174" s="111"/>
      <c r="BT1174" s="50"/>
      <c r="BU1174" s="50"/>
      <c r="BV1174" s="50"/>
      <c r="BW1174" s="50"/>
      <c r="BX1174" s="50"/>
      <c r="BY1174" s="50"/>
      <c r="BZ1174" s="50"/>
      <c r="CA1174" s="50"/>
      <c r="CB1174" s="50"/>
      <c r="CC1174" s="50"/>
      <c r="CD1174" s="50"/>
      <c r="CE1174" s="50"/>
      <c r="CF1174" s="50"/>
      <c r="CG1174" s="50"/>
      <c r="CH1174" s="50"/>
      <c r="CI1174" s="50"/>
      <c r="CJ1174" s="50"/>
      <c r="CK1174" s="50"/>
      <c r="CL1174" s="50"/>
      <c r="CM1174" s="50"/>
      <c r="CN1174" s="50"/>
      <c r="CO1174" s="50"/>
      <c r="CP1174" s="50"/>
      <c r="CQ1174" s="50"/>
      <c r="CR1174" s="50"/>
      <c r="CS1174" s="50"/>
    </row>
    <row r="1175" spans="1:97" ht="15" thickBot="1">
      <c r="A1175" s="49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111"/>
      <c r="O1175" s="111"/>
      <c r="P1175" s="111"/>
      <c r="Q1175" s="111"/>
      <c r="R1175" s="111"/>
      <c r="S1175" s="111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1"/>
      <c r="AF1175" s="111"/>
      <c r="AG1175" s="111"/>
      <c r="AH1175" s="111"/>
      <c r="AI1175" s="111"/>
      <c r="AJ1175" s="111"/>
      <c r="AK1175" s="111"/>
      <c r="AL1175" s="111"/>
      <c r="AM1175" s="111"/>
      <c r="AN1175" s="111"/>
      <c r="AO1175" s="111"/>
      <c r="AP1175" s="111"/>
      <c r="AQ1175" s="111"/>
      <c r="AR1175" s="111"/>
      <c r="AS1175" s="111"/>
      <c r="AT1175" s="111"/>
      <c r="AU1175" s="111"/>
      <c r="AV1175" s="50"/>
      <c r="AW1175" s="50"/>
      <c r="AX1175" s="50"/>
      <c r="AY1175" s="50"/>
      <c r="AZ1175" s="50"/>
      <c r="BA1175" s="50"/>
      <c r="BB1175" s="50"/>
      <c r="BC1175" s="50"/>
      <c r="BD1175" s="50"/>
      <c r="BE1175" s="50"/>
      <c r="BF1175" s="50"/>
      <c r="BG1175" s="50"/>
      <c r="BH1175" s="50"/>
      <c r="BI1175" s="50"/>
      <c r="BJ1175" s="50"/>
      <c r="BK1175" s="50"/>
      <c r="BL1175" s="50"/>
      <c r="BM1175" s="50"/>
      <c r="BN1175" s="50"/>
      <c r="BO1175" s="50"/>
      <c r="BP1175" s="50"/>
      <c r="BQ1175" s="50"/>
      <c r="BR1175" s="50"/>
      <c r="BS1175" s="111"/>
      <c r="BT1175" s="50"/>
      <c r="BU1175" s="50"/>
      <c r="BV1175" s="50"/>
      <c r="BW1175" s="50"/>
      <c r="BX1175" s="50"/>
      <c r="BY1175" s="50"/>
      <c r="BZ1175" s="50"/>
      <c r="CA1175" s="50"/>
      <c r="CB1175" s="50"/>
      <c r="CC1175" s="50"/>
      <c r="CD1175" s="50"/>
      <c r="CE1175" s="50"/>
      <c r="CF1175" s="50"/>
      <c r="CG1175" s="50"/>
      <c r="CH1175" s="50"/>
      <c r="CI1175" s="50"/>
      <c r="CJ1175" s="50"/>
      <c r="CK1175" s="50"/>
      <c r="CL1175" s="50"/>
      <c r="CM1175" s="50"/>
      <c r="CN1175" s="50"/>
      <c r="CO1175" s="50"/>
      <c r="CP1175" s="50"/>
      <c r="CQ1175" s="50"/>
      <c r="CR1175" s="50"/>
      <c r="CS1175" s="50"/>
    </row>
    <row r="1176" spans="1:97" ht="15" thickBot="1">
      <c r="A1176" s="49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111"/>
      <c r="O1176" s="111"/>
      <c r="P1176" s="111"/>
      <c r="Q1176" s="111"/>
      <c r="R1176" s="111"/>
      <c r="S1176" s="111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1"/>
      <c r="AF1176" s="111"/>
      <c r="AG1176" s="111"/>
      <c r="AH1176" s="111"/>
      <c r="AI1176" s="111"/>
      <c r="AJ1176" s="111"/>
      <c r="AK1176" s="111"/>
      <c r="AL1176" s="111"/>
      <c r="AM1176" s="111"/>
      <c r="AN1176" s="111"/>
      <c r="AO1176" s="111"/>
      <c r="AP1176" s="111"/>
      <c r="AQ1176" s="111"/>
      <c r="AR1176" s="111"/>
      <c r="AS1176" s="111"/>
      <c r="AT1176" s="111"/>
      <c r="AU1176" s="111"/>
      <c r="AV1176" s="50"/>
      <c r="AW1176" s="50"/>
      <c r="AX1176" s="50"/>
      <c r="AY1176" s="50"/>
      <c r="AZ1176" s="50"/>
      <c r="BA1176" s="50"/>
      <c r="BB1176" s="50"/>
      <c r="BC1176" s="50"/>
      <c r="BD1176" s="50"/>
      <c r="BE1176" s="50"/>
      <c r="BF1176" s="50"/>
      <c r="BG1176" s="50"/>
      <c r="BH1176" s="50"/>
      <c r="BI1176" s="50"/>
      <c r="BJ1176" s="50"/>
      <c r="BK1176" s="50"/>
      <c r="BL1176" s="50"/>
      <c r="BM1176" s="50"/>
      <c r="BN1176" s="50"/>
      <c r="BO1176" s="50"/>
      <c r="BP1176" s="50"/>
      <c r="BQ1176" s="50"/>
      <c r="BR1176" s="50"/>
      <c r="BS1176" s="111"/>
      <c r="BT1176" s="50"/>
      <c r="BU1176" s="50"/>
      <c r="BV1176" s="50"/>
      <c r="BW1176" s="50"/>
      <c r="BX1176" s="50"/>
      <c r="BY1176" s="50"/>
      <c r="BZ1176" s="50"/>
      <c r="CA1176" s="50"/>
      <c r="CB1176" s="50"/>
      <c r="CC1176" s="50"/>
      <c r="CD1176" s="50"/>
      <c r="CE1176" s="50"/>
      <c r="CF1176" s="50"/>
      <c r="CG1176" s="50"/>
      <c r="CH1176" s="50"/>
      <c r="CI1176" s="50"/>
      <c r="CJ1176" s="50"/>
      <c r="CK1176" s="50"/>
      <c r="CL1176" s="50"/>
      <c r="CM1176" s="50"/>
      <c r="CN1176" s="50"/>
      <c r="CO1176" s="50"/>
      <c r="CP1176" s="50"/>
      <c r="CQ1176" s="50"/>
      <c r="CR1176" s="50"/>
      <c r="CS1176" s="50"/>
    </row>
    <row r="1177" spans="1:97" ht="15" thickBot="1">
      <c r="A1177" s="49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111"/>
      <c r="O1177" s="111"/>
      <c r="P1177" s="111"/>
      <c r="Q1177" s="111"/>
      <c r="R1177" s="111"/>
      <c r="S1177" s="111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1"/>
      <c r="AF1177" s="111"/>
      <c r="AG1177" s="111"/>
      <c r="AH1177" s="111"/>
      <c r="AI1177" s="111"/>
      <c r="AJ1177" s="111"/>
      <c r="AK1177" s="111"/>
      <c r="AL1177" s="111"/>
      <c r="AM1177" s="111"/>
      <c r="AN1177" s="111"/>
      <c r="AO1177" s="111"/>
      <c r="AP1177" s="111"/>
      <c r="AQ1177" s="111"/>
      <c r="AR1177" s="111"/>
      <c r="AS1177" s="111"/>
      <c r="AT1177" s="111"/>
      <c r="AU1177" s="111"/>
      <c r="AV1177" s="50"/>
      <c r="AW1177" s="50"/>
      <c r="AX1177" s="50"/>
      <c r="AY1177" s="50"/>
      <c r="AZ1177" s="50"/>
      <c r="BA1177" s="50"/>
      <c r="BB1177" s="50"/>
      <c r="BC1177" s="50"/>
      <c r="BD1177" s="50"/>
      <c r="BE1177" s="50"/>
      <c r="BF1177" s="50"/>
      <c r="BG1177" s="50"/>
      <c r="BH1177" s="50"/>
      <c r="BI1177" s="50"/>
      <c r="BJ1177" s="50"/>
      <c r="BK1177" s="50"/>
      <c r="BL1177" s="50"/>
      <c r="BM1177" s="50"/>
      <c r="BN1177" s="50"/>
      <c r="BO1177" s="50"/>
      <c r="BP1177" s="50"/>
      <c r="BQ1177" s="50"/>
      <c r="BR1177" s="50"/>
      <c r="BS1177" s="111"/>
      <c r="BT1177" s="50"/>
      <c r="BU1177" s="50"/>
      <c r="BV1177" s="50"/>
      <c r="BW1177" s="50"/>
      <c r="BX1177" s="50"/>
      <c r="BY1177" s="50"/>
      <c r="BZ1177" s="50"/>
      <c r="CA1177" s="50"/>
      <c r="CB1177" s="50"/>
      <c r="CC1177" s="50"/>
      <c r="CD1177" s="50"/>
      <c r="CE1177" s="50"/>
      <c r="CF1177" s="50"/>
      <c r="CG1177" s="50"/>
      <c r="CH1177" s="50"/>
      <c r="CI1177" s="50"/>
      <c r="CJ1177" s="50"/>
      <c r="CK1177" s="50"/>
      <c r="CL1177" s="50"/>
      <c r="CM1177" s="50"/>
      <c r="CN1177" s="50"/>
      <c r="CO1177" s="50"/>
      <c r="CP1177" s="50"/>
      <c r="CQ1177" s="50"/>
      <c r="CR1177" s="50"/>
      <c r="CS1177" s="50"/>
    </row>
    <row r="1178" spans="1:97" ht="15" thickBot="1">
      <c r="A1178" s="49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111"/>
      <c r="O1178" s="111"/>
      <c r="P1178" s="111"/>
      <c r="Q1178" s="111"/>
      <c r="R1178" s="111"/>
      <c r="S1178" s="111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1"/>
      <c r="AF1178" s="111"/>
      <c r="AG1178" s="111"/>
      <c r="AH1178" s="111"/>
      <c r="AI1178" s="111"/>
      <c r="AJ1178" s="111"/>
      <c r="AK1178" s="111"/>
      <c r="AL1178" s="111"/>
      <c r="AM1178" s="111"/>
      <c r="AN1178" s="111"/>
      <c r="AO1178" s="111"/>
      <c r="AP1178" s="111"/>
      <c r="AQ1178" s="111"/>
      <c r="AR1178" s="111"/>
      <c r="AS1178" s="111"/>
      <c r="AT1178" s="111"/>
      <c r="AU1178" s="111"/>
      <c r="AV1178" s="50"/>
      <c r="AW1178" s="50"/>
      <c r="AX1178" s="50"/>
      <c r="AY1178" s="50"/>
      <c r="AZ1178" s="50"/>
      <c r="BA1178" s="50"/>
      <c r="BB1178" s="50"/>
      <c r="BC1178" s="50"/>
      <c r="BD1178" s="50"/>
      <c r="BE1178" s="50"/>
      <c r="BF1178" s="50"/>
      <c r="BG1178" s="50"/>
      <c r="BH1178" s="50"/>
      <c r="BI1178" s="50"/>
      <c r="BJ1178" s="50"/>
      <c r="BK1178" s="50"/>
      <c r="BL1178" s="50"/>
      <c r="BM1178" s="50"/>
      <c r="BN1178" s="50"/>
      <c r="BO1178" s="50"/>
      <c r="BP1178" s="50"/>
      <c r="BQ1178" s="50"/>
      <c r="BR1178" s="50"/>
      <c r="BS1178" s="111"/>
      <c r="BT1178" s="50"/>
      <c r="BU1178" s="50"/>
      <c r="BV1178" s="50"/>
      <c r="BW1178" s="50"/>
      <c r="BX1178" s="50"/>
      <c r="BY1178" s="50"/>
      <c r="BZ1178" s="50"/>
      <c r="CA1178" s="50"/>
      <c r="CB1178" s="50"/>
      <c r="CC1178" s="50"/>
      <c r="CD1178" s="50"/>
      <c r="CE1178" s="50"/>
      <c r="CF1178" s="50"/>
      <c r="CG1178" s="50"/>
      <c r="CH1178" s="50"/>
      <c r="CI1178" s="50"/>
      <c r="CJ1178" s="50"/>
      <c r="CK1178" s="50"/>
      <c r="CL1178" s="50"/>
      <c r="CM1178" s="50"/>
      <c r="CN1178" s="50"/>
      <c r="CO1178" s="50"/>
      <c r="CP1178" s="50"/>
      <c r="CQ1178" s="50"/>
      <c r="CR1178" s="50"/>
      <c r="CS1178" s="50"/>
    </row>
    <row r="1179" spans="1:97" ht="15" thickBot="1">
      <c r="A1179" s="49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111"/>
      <c r="O1179" s="111"/>
      <c r="P1179" s="111"/>
      <c r="Q1179" s="111"/>
      <c r="R1179" s="111"/>
      <c r="S1179" s="111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1"/>
      <c r="AF1179" s="111"/>
      <c r="AG1179" s="111"/>
      <c r="AH1179" s="111"/>
      <c r="AI1179" s="111"/>
      <c r="AJ1179" s="111"/>
      <c r="AK1179" s="111"/>
      <c r="AL1179" s="111"/>
      <c r="AM1179" s="111"/>
      <c r="AN1179" s="111"/>
      <c r="AO1179" s="111"/>
      <c r="AP1179" s="111"/>
      <c r="AQ1179" s="111"/>
      <c r="AR1179" s="111"/>
      <c r="AS1179" s="111"/>
      <c r="AT1179" s="111"/>
      <c r="AU1179" s="111"/>
      <c r="AV1179" s="50"/>
      <c r="AW1179" s="50"/>
      <c r="AX1179" s="50"/>
      <c r="AY1179" s="50"/>
      <c r="AZ1179" s="50"/>
      <c r="BA1179" s="50"/>
      <c r="BB1179" s="50"/>
      <c r="BC1179" s="50"/>
      <c r="BD1179" s="50"/>
      <c r="BE1179" s="50"/>
      <c r="BF1179" s="50"/>
      <c r="BG1179" s="50"/>
      <c r="BH1179" s="50"/>
      <c r="BI1179" s="50"/>
      <c r="BJ1179" s="50"/>
      <c r="BK1179" s="50"/>
      <c r="BL1179" s="50"/>
      <c r="BM1179" s="50"/>
      <c r="BN1179" s="50"/>
      <c r="BO1179" s="50"/>
      <c r="BP1179" s="50"/>
      <c r="BQ1179" s="50"/>
      <c r="BR1179" s="50"/>
      <c r="BS1179" s="111"/>
      <c r="BT1179" s="50"/>
      <c r="BU1179" s="50"/>
      <c r="BV1179" s="50"/>
      <c r="BW1179" s="50"/>
      <c r="BX1179" s="50"/>
      <c r="BY1179" s="50"/>
      <c r="BZ1179" s="50"/>
      <c r="CA1179" s="50"/>
      <c r="CB1179" s="50"/>
      <c r="CC1179" s="50"/>
      <c r="CD1179" s="50"/>
      <c r="CE1179" s="50"/>
      <c r="CF1179" s="50"/>
      <c r="CG1179" s="50"/>
      <c r="CH1179" s="50"/>
      <c r="CI1179" s="50"/>
      <c r="CJ1179" s="50"/>
      <c r="CK1179" s="50"/>
      <c r="CL1179" s="50"/>
      <c r="CM1179" s="50"/>
      <c r="CN1179" s="50"/>
      <c r="CO1179" s="50"/>
      <c r="CP1179" s="50"/>
      <c r="CQ1179" s="50"/>
      <c r="CR1179" s="50"/>
      <c r="CS1179" s="50"/>
    </row>
    <row r="1180" spans="1:97" ht="15" thickBot="1">
      <c r="A1180" s="49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111"/>
      <c r="O1180" s="111"/>
      <c r="P1180" s="111"/>
      <c r="Q1180" s="111"/>
      <c r="R1180" s="111"/>
      <c r="S1180" s="111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1"/>
      <c r="AF1180" s="111"/>
      <c r="AG1180" s="111"/>
      <c r="AH1180" s="111"/>
      <c r="AI1180" s="111"/>
      <c r="AJ1180" s="111"/>
      <c r="AK1180" s="111"/>
      <c r="AL1180" s="111"/>
      <c r="AM1180" s="111"/>
      <c r="AN1180" s="111"/>
      <c r="AO1180" s="111"/>
      <c r="AP1180" s="111"/>
      <c r="AQ1180" s="111"/>
      <c r="AR1180" s="111"/>
      <c r="AS1180" s="111"/>
      <c r="AT1180" s="111"/>
      <c r="AU1180" s="111"/>
      <c r="AV1180" s="50"/>
      <c r="AW1180" s="50"/>
      <c r="AX1180" s="50"/>
      <c r="AY1180" s="50"/>
      <c r="AZ1180" s="50"/>
      <c r="BA1180" s="50"/>
      <c r="BB1180" s="50"/>
      <c r="BC1180" s="50"/>
      <c r="BD1180" s="50"/>
      <c r="BE1180" s="50"/>
      <c r="BF1180" s="50"/>
      <c r="BG1180" s="50"/>
      <c r="BH1180" s="50"/>
      <c r="BI1180" s="50"/>
      <c r="BJ1180" s="50"/>
      <c r="BK1180" s="50"/>
      <c r="BL1180" s="50"/>
      <c r="BM1180" s="50"/>
      <c r="BN1180" s="50"/>
      <c r="BO1180" s="50"/>
      <c r="BP1180" s="50"/>
      <c r="BQ1180" s="50"/>
      <c r="BR1180" s="50"/>
      <c r="BS1180" s="111"/>
      <c r="BT1180" s="50"/>
      <c r="BU1180" s="50"/>
      <c r="BV1180" s="50"/>
      <c r="BW1180" s="50"/>
      <c r="BX1180" s="50"/>
      <c r="BY1180" s="50"/>
      <c r="BZ1180" s="50"/>
      <c r="CA1180" s="50"/>
      <c r="CB1180" s="50"/>
      <c r="CC1180" s="50"/>
      <c r="CD1180" s="50"/>
      <c r="CE1180" s="50"/>
      <c r="CF1180" s="50"/>
      <c r="CG1180" s="50"/>
      <c r="CH1180" s="50"/>
      <c r="CI1180" s="50"/>
      <c r="CJ1180" s="50"/>
      <c r="CK1180" s="50"/>
      <c r="CL1180" s="50"/>
      <c r="CM1180" s="50"/>
      <c r="CN1180" s="50"/>
      <c r="CO1180" s="50"/>
      <c r="CP1180" s="50"/>
      <c r="CQ1180" s="50"/>
      <c r="CR1180" s="50"/>
      <c r="CS1180" s="50"/>
    </row>
    <row r="1181" spans="1:97" ht="15" thickBot="1">
      <c r="A1181" s="49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111"/>
      <c r="O1181" s="111"/>
      <c r="P1181" s="111"/>
      <c r="Q1181" s="111"/>
      <c r="R1181" s="111"/>
      <c r="S1181" s="111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1"/>
      <c r="AF1181" s="111"/>
      <c r="AG1181" s="111"/>
      <c r="AH1181" s="111"/>
      <c r="AI1181" s="111"/>
      <c r="AJ1181" s="111"/>
      <c r="AK1181" s="111"/>
      <c r="AL1181" s="111"/>
      <c r="AM1181" s="111"/>
      <c r="AN1181" s="111"/>
      <c r="AO1181" s="111"/>
      <c r="AP1181" s="111"/>
      <c r="AQ1181" s="111"/>
      <c r="AR1181" s="111"/>
      <c r="AS1181" s="111"/>
      <c r="AT1181" s="111"/>
      <c r="AU1181" s="111"/>
      <c r="AV1181" s="50"/>
      <c r="AW1181" s="50"/>
      <c r="AX1181" s="50"/>
      <c r="AY1181" s="50"/>
      <c r="AZ1181" s="50"/>
      <c r="BA1181" s="50"/>
      <c r="BB1181" s="50"/>
      <c r="BC1181" s="50"/>
      <c r="BD1181" s="50"/>
      <c r="BE1181" s="50"/>
      <c r="BF1181" s="50"/>
      <c r="BG1181" s="50"/>
      <c r="BH1181" s="50"/>
      <c r="BI1181" s="50"/>
      <c r="BJ1181" s="50"/>
      <c r="BK1181" s="50"/>
      <c r="BL1181" s="50"/>
      <c r="BM1181" s="50"/>
      <c r="BN1181" s="50"/>
      <c r="BO1181" s="50"/>
      <c r="BP1181" s="50"/>
      <c r="BQ1181" s="50"/>
      <c r="BR1181" s="50"/>
      <c r="BS1181" s="111"/>
      <c r="BT1181" s="50"/>
      <c r="BU1181" s="50"/>
      <c r="BV1181" s="50"/>
      <c r="BW1181" s="50"/>
      <c r="BX1181" s="50"/>
      <c r="BY1181" s="50"/>
      <c r="BZ1181" s="50"/>
      <c r="CA1181" s="50"/>
      <c r="CB1181" s="50"/>
      <c r="CC1181" s="50"/>
      <c r="CD1181" s="50"/>
      <c r="CE1181" s="50"/>
      <c r="CF1181" s="50"/>
      <c r="CG1181" s="50"/>
      <c r="CH1181" s="50"/>
      <c r="CI1181" s="50"/>
      <c r="CJ1181" s="50"/>
      <c r="CK1181" s="50"/>
      <c r="CL1181" s="50"/>
      <c r="CM1181" s="50"/>
      <c r="CN1181" s="50"/>
      <c r="CO1181" s="50"/>
      <c r="CP1181" s="50"/>
      <c r="CQ1181" s="50"/>
      <c r="CR1181" s="50"/>
      <c r="CS1181" s="50"/>
    </row>
    <row r="1182" spans="1:97" ht="15" thickBot="1">
      <c r="A1182" s="49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111"/>
      <c r="O1182" s="111"/>
      <c r="P1182" s="111"/>
      <c r="Q1182" s="111"/>
      <c r="R1182" s="111"/>
      <c r="S1182" s="111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1"/>
      <c r="AF1182" s="111"/>
      <c r="AG1182" s="111"/>
      <c r="AH1182" s="111"/>
      <c r="AI1182" s="111"/>
      <c r="AJ1182" s="111"/>
      <c r="AK1182" s="111"/>
      <c r="AL1182" s="111"/>
      <c r="AM1182" s="111"/>
      <c r="AN1182" s="111"/>
      <c r="AO1182" s="111"/>
      <c r="AP1182" s="111"/>
      <c r="AQ1182" s="111"/>
      <c r="AR1182" s="111"/>
      <c r="AS1182" s="111"/>
      <c r="AT1182" s="111"/>
      <c r="AU1182" s="111"/>
      <c r="AV1182" s="50"/>
      <c r="AW1182" s="50"/>
      <c r="AX1182" s="50"/>
      <c r="AY1182" s="50"/>
      <c r="AZ1182" s="50"/>
      <c r="BA1182" s="50"/>
      <c r="BB1182" s="50"/>
      <c r="BC1182" s="50"/>
      <c r="BD1182" s="50"/>
      <c r="BE1182" s="50"/>
      <c r="BF1182" s="50"/>
      <c r="BG1182" s="50"/>
      <c r="BH1182" s="50"/>
      <c r="BI1182" s="50"/>
      <c r="BJ1182" s="50"/>
      <c r="BK1182" s="50"/>
      <c r="BL1182" s="50"/>
      <c r="BM1182" s="50"/>
      <c r="BN1182" s="50"/>
      <c r="BO1182" s="50"/>
      <c r="BP1182" s="50"/>
      <c r="BQ1182" s="50"/>
      <c r="BR1182" s="50"/>
      <c r="BS1182" s="111"/>
      <c r="BT1182" s="50"/>
      <c r="BU1182" s="50"/>
      <c r="BV1182" s="50"/>
      <c r="BW1182" s="50"/>
      <c r="BX1182" s="50"/>
      <c r="BY1182" s="50"/>
      <c r="BZ1182" s="50"/>
      <c r="CA1182" s="50"/>
      <c r="CB1182" s="50"/>
      <c r="CC1182" s="50"/>
      <c r="CD1182" s="50"/>
      <c r="CE1182" s="50"/>
      <c r="CF1182" s="50"/>
      <c r="CG1182" s="50"/>
      <c r="CH1182" s="50"/>
      <c r="CI1182" s="50"/>
      <c r="CJ1182" s="50"/>
      <c r="CK1182" s="50"/>
      <c r="CL1182" s="50"/>
      <c r="CM1182" s="50"/>
      <c r="CN1182" s="50"/>
      <c r="CO1182" s="50"/>
      <c r="CP1182" s="50"/>
      <c r="CQ1182" s="50"/>
      <c r="CR1182" s="50"/>
      <c r="CS1182" s="50"/>
    </row>
    <row r="1183" spans="1:97" ht="15" thickBot="1">
      <c r="A1183" s="49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111"/>
      <c r="O1183" s="111"/>
      <c r="P1183" s="111"/>
      <c r="Q1183" s="111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1"/>
      <c r="AF1183" s="111"/>
      <c r="AG1183" s="111"/>
      <c r="AH1183" s="111"/>
      <c r="AI1183" s="111"/>
      <c r="AJ1183" s="111"/>
      <c r="AK1183" s="111"/>
      <c r="AL1183" s="111"/>
      <c r="AM1183" s="111"/>
      <c r="AN1183" s="111"/>
      <c r="AO1183" s="111"/>
      <c r="AP1183" s="111"/>
      <c r="AQ1183" s="111"/>
      <c r="AR1183" s="111"/>
      <c r="AS1183" s="111"/>
      <c r="AT1183" s="111"/>
      <c r="AU1183" s="111"/>
      <c r="AV1183" s="50"/>
      <c r="AW1183" s="50"/>
      <c r="AX1183" s="50"/>
      <c r="AY1183" s="50"/>
      <c r="AZ1183" s="50"/>
      <c r="BA1183" s="50"/>
      <c r="BB1183" s="50"/>
      <c r="BC1183" s="50"/>
      <c r="BD1183" s="50"/>
      <c r="BE1183" s="50"/>
      <c r="BF1183" s="50"/>
      <c r="BG1183" s="50"/>
      <c r="BH1183" s="50"/>
      <c r="BI1183" s="50"/>
      <c r="BJ1183" s="50"/>
      <c r="BK1183" s="50"/>
      <c r="BL1183" s="50"/>
      <c r="BM1183" s="50"/>
      <c r="BN1183" s="50"/>
      <c r="BO1183" s="50"/>
      <c r="BP1183" s="50"/>
      <c r="BQ1183" s="50"/>
      <c r="BR1183" s="50"/>
      <c r="BS1183" s="111"/>
      <c r="BT1183" s="50"/>
      <c r="BU1183" s="50"/>
      <c r="BV1183" s="50"/>
      <c r="BW1183" s="50"/>
      <c r="BX1183" s="50"/>
      <c r="BY1183" s="50"/>
      <c r="BZ1183" s="50"/>
      <c r="CA1183" s="50"/>
      <c r="CB1183" s="50"/>
      <c r="CC1183" s="50"/>
      <c r="CD1183" s="50"/>
      <c r="CE1183" s="50"/>
      <c r="CF1183" s="50"/>
      <c r="CG1183" s="50"/>
      <c r="CH1183" s="50"/>
      <c r="CI1183" s="50"/>
      <c r="CJ1183" s="50"/>
      <c r="CK1183" s="50"/>
      <c r="CL1183" s="50"/>
      <c r="CM1183" s="50"/>
      <c r="CN1183" s="50"/>
      <c r="CO1183" s="50"/>
      <c r="CP1183" s="50"/>
      <c r="CQ1183" s="50"/>
      <c r="CR1183" s="50"/>
      <c r="CS1183" s="50"/>
    </row>
    <row r="1184" spans="1:97" ht="15" thickBot="1">
      <c r="A1184" s="49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111"/>
      <c r="O1184" s="111"/>
      <c r="P1184" s="111"/>
      <c r="Q1184" s="111"/>
      <c r="R1184" s="111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1"/>
      <c r="AF1184" s="111"/>
      <c r="AG1184" s="111"/>
      <c r="AH1184" s="111"/>
      <c r="AI1184" s="111"/>
      <c r="AJ1184" s="111"/>
      <c r="AK1184" s="111"/>
      <c r="AL1184" s="111"/>
      <c r="AM1184" s="111"/>
      <c r="AN1184" s="111"/>
      <c r="AO1184" s="111"/>
      <c r="AP1184" s="111"/>
      <c r="AQ1184" s="111"/>
      <c r="AR1184" s="111"/>
      <c r="AS1184" s="111"/>
      <c r="AT1184" s="111"/>
      <c r="AU1184" s="111"/>
      <c r="AV1184" s="50"/>
      <c r="AW1184" s="50"/>
      <c r="AX1184" s="50"/>
      <c r="AY1184" s="50"/>
      <c r="AZ1184" s="50"/>
      <c r="BA1184" s="50"/>
      <c r="BB1184" s="50"/>
      <c r="BC1184" s="50"/>
      <c r="BD1184" s="50"/>
      <c r="BE1184" s="50"/>
      <c r="BF1184" s="50"/>
      <c r="BG1184" s="50"/>
      <c r="BH1184" s="50"/>
      <c r="BI1184" s="50"/>
      <c r="BJ1184" s="50"/>
      <c r="BK1184" s="50"/>
      <c r="BL1184" s="50"/>
      <c r="BM1184" s="50"/>
      <c r="BN1184" s="50"/>
      <c r="BO1184" s="50"/>
      <c r="BP1184" s="50"/>
      <c r="BQ1184" s="50"/>
      <c r="BR1184" s="50"/>
      <c r="BS1184" s="111"/>
      <c r="BT1184" s="50"/>
      <c r="BU1184" s="50"/>
      <c r="BV1184" s="50"/>
      <c r="BW1184" s="50"/>
      <c r="BX1184" s="50"/>
      <c r="BY1184" s="50"/>
      <c r="BZ1184" s="50"/>
      <c r="CA1184" s="50"/>
      <c r="CB1184" s="50"/>
      <c r="CC1184" s="50"/>
      <c r="CD1184" s="50"/>
      <c r="CE1184" s="50"/>
      <c r="CF1184" s="50"/>
      <c r="CG1184" s="50"/>
      <c r="CH1184" s="50"/>
      <c r="CI1184" s="50"/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</row>
    <row r="1185" spans="1:97" ht="15" thickBot="1">
      <c r="A1185" s="49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111"/>
      <c r="O1185" s="111"/>
      <c r="P1185" s="111"/>
      <c r="Q1185" s="111"/>
      <c r="R1185" s="111"/>
      <c r="S1185" s="111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1"/>
      <c r="AF1185" s="111"/>
      <c r="AG1185" s="111"/>
      <c r="AH1185" s="111"/>
      <c r="AI1185" s="111"/>
      <c r="AJ1185" s="111"/>
      <c r="AK1185" s="111"/>
      <c r="AL1185" s="111"/>
      <c r="AM1185" s="111"/>
      <c r="AN1185" s="111"/>
      <c r="AO1185" s="111"/>
      <c r="AP1185" s="111"/>
      <c r="AQ1185" s="111"/>
      <c r="AR1185" s="111"/>
      <c r="AS1185" s="111"/>
      <c r="AT1185" s="111"/>
      <c r="AU1185" s="111"/>
      <c r="AV1185" s="50"/>
      <c r="AW1185" s="50"/>
      <c r="AX1185" s="50"/>
      <c r="AY1185" s="50"/>
      <c r="AZ1185" s="50"/>
      <c r="BA1185" s="50"/>
      <c r="BB1185" s="50"/>
      <c r="BC1185" s="50"/>
      <c r="BD1185" s="50"/>
      <c r="BE1185" s="50"/>
      <c r="BF1185" s="50"/>
      <c r="BG1185" s="50"/>
      <c r="BH1185" s="50"/>
      <c r="BI1185" s="50"/>
      <c r="BJ1185" s="50"/>
      <c r="BK1185" s="50"/>
      <c r="BL1185" s="50"/>
      <c r="BM1185" s="50"/>
      <c r="BN1185" s="50"/>
      <c r="BO1185" s="50"/>
      <c r="BP1185" s="50"/>
      <c r="BQ1185" s="50"/>
      <c r="BR1185" s="50"/>
      <c r="BS1185" s="111"/>
      <c r="BT1185" s="50"/>
      <c r="BU1185" s="50"/>
      <c r="BV1185" s="50"/>
      <c r="BW1185" s="50"/>
      <c r="BX1185" s="50"/>
      <c r="BY1185" s="50"/>
      <c r="BZ1185" s="50"/>
      <c r="CA1185" s="50"/>
      <c r="CB1185" s="50"/>
      <c r="CC1185" s="50"/>
      <c r="CD1185" s="50"/>
      <c r="CE1185" s="50"/>
      <c r="CF1185" s="50"/>
      <c r="CG1185" s="50"/>
      <c r="CH1185" s="50"/>
      <c r="CI1185" s="50"/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</row>
    <row r="1186" spans="1:97" ht="15" thickBot="1">
      <c r="A1186" s="49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111"/>
      <c r="O1186" s="111"/>
      <c r="P1186" s="111"/>
      <c r="Q1186" s="111"/>
      <c r="R1186" s="111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1"/>
      <c r="AF1186" s="111"/>
      <c r="AG1186" s="111"/>
      <c r="AH1186" s="111"/>
      <c r="AI1186" s="111"/>
      <c r="AJ1186" s="111"/>
      <c r="AK1186" s="111"/>
      <c r="AL1186" s="111"/>
      <c r="AM1186" s="111"/>
      <c r="AN1186" s="111"/>
      <c r="AO1186" s="111"/>
      <c r="AP1186" s="111"/>
      <c r="AQ1186" s="111"/>
      <c r="AR1186" s="111"/>
      <c r="AS1186" s="111"/>
      <c r="AT1186" s="111"/>
      <c r="AU1186" s="111"/>
      <c r="AV1186" s="50"/>
      <c r="AW1186" s="50"/>
      <c r="AX1186" s="50"/>
      <c r="AY1186" s="50"/>
      <c r="AZ1186" s="50"/>
      <c r="BA1186" s="50"/>
      <c r="BB1186" s="50"/>
      <c r="BC1186" s="50"/>
      <c r="BD1186" s="50"/>
      <c r="BE1186" s="50"/>
      <c r="BF1186" s="50"/>
      <c r="BG1186" s="50"/>
      <c r="BH1186" s="50"/>
      <c r="BI1186" s="50"/>
      <c r="BJ1186" s="50"/>
      <c r="BK1186" s="50"/>
      <c r="BL1186" s="50"/>
      <c r="BM1186" s="50"/>
      <c r="BN1186" s="50"/>
      <c r="BO1186" s="50"/>
      <c r="BP1186" s="50"/>
      <c r="BQ1186" s="50"/>
      <c r="BR1186" s="50"/>
      <c r="BS1186" s="111"/>
      <c r="BT1186" s="50"/>
      <c r="BU1186" s="50"/>
      <c r="BV1186" s="50"/>
      <c r="BW1186" s="50"/>
      <c r="BX1186" s="50"/>
      <c r="BY1186" s="50"/>
      <c r="BZ1186" s="50"/>
      <c r="CA1186" s="50"/>
      <c r="CB1186" s="50"/>
      <c r="CC1186" s="50"/>
      <c r="CD1186" s="50"/>
      <c r="CE1186" s="50"/>
      <c r="CF1186" s="50"/>
      <c r="CG1186" s="50"/>
      <c r="CH1186" s="50"/>
      <c r="CI1186" s="50"/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</row>
    <row r="1187" spans="1:97" ht="15" thickBot="1">
      <c r="A1187" s="49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111"/>
      <c r="O1187" s="111"/>
      <c r="P1187" s="111"/>
      <c r="Q1187" s="111"/>
      <c r="R1187" s="111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1"/>
      <c r="AF1187" s="111"/>
      <c r="AG1187" s="111"/>
      <c r="AH1187" s="111"/>
      <c r="AI1187" s="111"/>
      <c r="AJ1187" s="111"/>
      <c r="AK1187" s="111"/>
      <c r="AL1187" s="111"/>
      <c r="AM1187" s="111"/>
      <c r="AN1187" s="111"/>
      <c r="AO1187" s="111"/>
      <c r="AP1187" s="111"/>
      <c r="AQ1187" s="111"/>
      <c r="AR1187" s="111"/>
      <c r="AS1187" s="111"/>
      <c r="AT1187" s="111"/>
      <c r="AU1187" s="111"/>
      <c r="AV1187" s="50"/>
      <c r="AW1187" s="50"/>
      <c r="AX1187" s="50"/>
      <c r="AY1187" s="50"/>
      <c r="AZ1187" s="50"/>
      <c r="BA1187" s="50"/>
      <c r="BB1187" s="50"/>
      <c r="BC1187" s="50"/>
      <c r="BD1187" s="50"/>
      <c r="BE1187" s="50"/>
      <c r="BF1187" s="50"/>
      <c r="BG1187" s="50"/>
      <c r="BH1187" s="50"/>
      <c r="BI1187" s="50"/>
      <c r="BJ1187" s="50"/>
      <c r="BK1187" s="50"/>
      <c r="BL1187" s="50"/>
      <c r="BM1187" s="50"/>
      <c r="BN1187" s="50"/>
      <c r="BO1187" s="50"/>
      <c r="BP1187" s="50"/>
      <c r="BQ1187" s="50"/>
      <c r="BR1187" s="50"/>
      <c r="BS1187" s="111"/>
      <c r="BT1187" s="50"/>
      <c r="BU1187" s="50"/>
      <c r="BV1187" s="50"/>
      <c r="BW1187" s="50"/>
      <c r="BX1187" s="50"/>
      <c r="BY1187" s="50"/>
      <c r="BZ1187" s="50"/>
      <c r="CA1187" s="50"/>
      <c r="CB1187" s="50"/>
      <c r="CC1187" s="50"/>
      <c r="CD1187" s="50"/>
      <c r="CE1187" s="50"/>
      <c r="CF1187" s="50"/>
      <c r="CG1187" s="50"/>
      <c r="CH1187" s="50"/>
      <c r="CI1187" s="50"/>
      <c r="CJ1187" s="50"/>
      <c r="CK1187" s="50"/>
      <c r="CL1187" s="50"/>
      <c r="CM1187" s="50"/>
      <c r="CN1187" s="50"/>
      <c r="CO1187" s="50"/>
      <c r="CP1187" s="50"/>
      <c r="CQ1187" s="50"/>
      <c r="CR1187" s="50"/>
      <c r="CS1187" s="50"/>
    </row>
    <row r="1188" spans="1:97" ht="15" thickBot="1">
      <c r="A1188" s="49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111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1"/>
      <c r="AF1188" s="111"/>
      <c r="AG1188" s="111"/>
      <c r="AH1188" s="111"/>
      <c r="AI1188" s="111"/>
      <c r="AJ1188" s="111"/>
      <c r="AK1188" s="111"/>
      <c r="AL1188" s="111"/>
      <c r="AM1188" s="111"/>
      <c r="AN1188" s="111"/>
      <c r="AO1188" s="111"/>
      <c r="AP1188" s="111"/>
      <c r="AQ1188" s="111"/>
      <c r="AR1188" s="111"/>
      <c r="AS1188" s="111"/>
      <c r="AT1188" s="111"/>
      <c r="AU1188" s="111"/>
      <c r="AV1188" s="50"/>
      <c r="AW1188" s="50"/>
      <c r="AX1188" s="50"/>
      <c r="AY1188" s="50"/>
      <c r="AZ1188" s="50"/>
      <c r="BA1188" s="50"/>
      <c r="BB1188" s="50"/>
      <c r="BC1188" s="50"/>
      <c r="BD1188" s="50"/>
      <c r="BE1188" s="50"/>
      <c r="BF1188" s="50"/>
      <c r="BG1188" s="50"/>
      <c r="BH1188" s="50"/>
      <c r="BI1188" s="50"/>
      <c r="BJ1188" s="50"/>
      <c r="BK1188" s="50"/>
      <c r="BL1188" s="50"/>
      <c r="BM1188" s="50"/>
      <c r="BN1188" s="50"/>
      <c r="BO1188" s="50"/>
      <c r="BP1188" s="50"/>
      <c r="BQ1188" s="50"/>
      <c r="BR1188" s="50"/>
      <c r="BS1188" s="111"/>
      <c r="BT1188" s="50"/>
      <c r="BU1188" s="50"/>
      <c r="BV1188" s="50"/>
      <c r="BW1188" s="50"/>
      <c r="BX1188" s="50"/>
      <c r="BY1188" s="50"/>
      <c r="BZ1188" s="50"/>
      <c r="CA1188" s="50"/>
      <c r="CB1188" s="50"/>
      <c r="CC1188" s="50"/>
      <c r="CD1188" s="50"/>
      <c r="CE1188" s="50"/>
      <c r="CF1188" s="50"/>
      <c r="CG1188" s="50"/>
      <c r="CH1188" s="50"/>
      <c r="CI1188" s="50"/>
      <c r="CJ1188" s="50"/>
      <c r="CK1188" s="50"/>
      <c r="CL1188" s="50"/>
      <c r="CM1188" s="50"/>
      <c r="CN1188" s="50"/>
      <c r="CO1188" s="50"/>
      <c r="CP1188" s="50"/>
      <c r="CQ1188" s="50"/>
      <c r="CR1188" s="50"/>
      <c r="CS1188" s="50"/>
    </row>
    <row r="1189" spans="1:97" ht="15" thickBot="1">
      <c r="A1189" s="49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111"/>
      <c r="O1189" s="111"/>
      <c r="P1189" s="111"/>
      <c r="Q1189" s="111"/>
      <c r="R1189" s="111"/>
      <c r="S1189" s="111"/>
      <c r="T1189" s="111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1"/>
      <c r="AF1189" s="111"/>
      <c r="AG1189" s="111"/>
      <c r="AH1189" s="111"/>
      <c r="AI1189" s="111"/>
      <c r="AJ1189" s="111"/>
      <c r="AK1189" s="111"/>
      <c r="AL1189" s="111"/>
      <c r="AM1189" s="111"/>
      <c r="AN1189" s="111"/>
      <c r="AO1189" s="111"/>
      <c r="AP1189" s="111"/>
      <c r="AQ1189" s="111"/>
      <c r="AR1189" s="111"/>
      <c r="AS1189" s="111"/>
      <c r="AT1189" s="111"/>
      <c r="AU1189" s="111"/>
      <c r="AV1189" s="50"/>
      <c r="AW1189" s="50"/>
      <c r="AX1189" s="50"/>
      <c r="AY1189" s="50"/>
      <c r="AZ1189" s="50"/>
      <c r="BA1189" s="50"/>
      <c r="BB1189" s="50"/>
      <c r="BC1189" s="50"/>
      <c r="BD1189" s="50"/>
      <c r="BE1189" s="50"/>
      <c r="BF1189" s="50"/>
      <c r="BG1189" s="50"/>
      <c r="BH1189" s="50"/>
      <c r="BI1189" s="50"/>
      <c r="BJ1189" s="50"/>
      <c r="BK1189" s="50"/>
      <c r="BL1189" s="50"/>
      <c r="BM1189" s="50"/>
      <c r="BN1189" s="50"/>
      <c r="BO1189" s="50"/>
      <c r="BP1189" s="50"/>
      <c r="BQ1189" s="50"/>
      <c r="BR1189" s="50"/>
      <c r="BS1189" s="111"/>
      <c r="BT1189" s="50"/>
      <c r="BU1189" s="50"/>
      <c r="BV1189" s="50"/>
      <c r="BW1189" s="50"/>
      <c r="BX1189" s="50"/>
      <c r="BY1189" s="50"/>
      <c r="BZ1189" s="50"/>
      <c r="CA1189" s="50"/>
      <c r="CB1189" s="50"/>
      <c r="CC1189" s="50"/>
      <c r="CD1189" s="50"/>
      <c r="CE1189" s="50"/>
      <c r="CF1189" s="50"/>
      <c r="CG1189" s="50"/>
      <c r="CH1189" s="50"/>
      <c r="CI1189" s="50"/>
      <c r="CJ1189" s="50"/>
      <c r="CK1189" s="50"/>
      <c r="CL1189" s="50"/>
      <c r="CM1189" s="50"/>
      <c r="CN1189" s="50"/>
      <c r="CO1189" s="50"/>
      <c r="CP1189" s="50"/>
      <c r="CQ1189" s="50"/>
      <c r="CR1189" s="50"/>
      <c r="CS1189" s="50"/>
    </row>
    <row r="1190" spans="1:97" ht="15" thickBot="1">
      <c r="A1190" s="49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111"/>
      <c r="O1190" s="111"/>
      <c r="P1190" s="111"/>
      <c r="Q1190" s="111"/>
      <c r="R1190" s="111"/>
      <c r="S1190" s="111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1"/>
      <c r="AF1190" s="111"/>
      <c r="AG1190" s="111"/>
      <c r="AH1190" s="111"/>
      <c r="AI1190" s="111"/>
      <c r="AJ1190" s="111"/>
      <c r="AK1190" s="111"/>
      <c r="AL1190" s="111"/>
      <c r="AM1190" s="111"/>
      <c r="AN1190" s="111"/>
      <c r="AO1190" s="111"/>
      <c r="AP1190" s="111"/>
      <c r="AQ1190" s="111"/>
      <c r="AR1190" s="111"/>
      <c r="AS1190" s="111"/>
      <c r="AT1190" s="111"/>
      <c r="AU1190" s="111"/>
      <c r="AV1190" s="50"/>
      <c r="AW1190" s="50"/>
      <c r="AX1190" s="50"/>
      <c r="AY1190" s="50"/>
      <c r="AZ1190" s="50"/>
      <c r="BA1190" s="50"/>
      <c r="BB1190" s="50"/>
      <c r="BC1190" s="50"/>
      <c r="BD1190" s="50"/>
      <c r="BE1190" s="50"/>
      <c r="BF1190" s="50"/>
      <c r="BG1190" s="50"/>
      <c r="BH1190" s="50"/>
      <c r="BI1190" s="50"/>
      <c r="BJ1190" s="50"/>
      <c r="BK1190" s="50"/>
      <c r="BL1190" s="50"/>
      <c r="BM1190" s="50"/>
      <c r="BN1190" s="50"/>
      <c r="BO1190" s="50"/>
      <c r="BP1190" s="50"/>
      <c r="BQ1190" s="50"/>
      <c r="BR1190" s="50"/>
      <c r="BS1190" s="111"/>
      <c r="BT1190" s="50"/>
      <c r="BU1190" s="50"/>
      <c r="BV1190" s="50"/>
      <c r="BW1190" s="50"/>
      <c r="BX1190" s="50"/>
      <c r="BY1190" s="50"/>
      <c r="BZ1190" s="50"/>
      <c r="CA1190" s="50"/>
      <c r="CB1190" s="50"/>
      <c r="CC1190" s="50"/>
      <c r="CD1190" s="50"/>
      <c r="CE1190" s="50"/>
      <c r="CF1190" s="50"/>
      <c r="CG1190" s="50"/>
      <c r="CH1190" s="50"/>
      <c r="CI1190" s="50"/>
      <c r="CJ1190" s="50"/>
      <c r="CK1190" s="50"/>
      <c r="CL1190" s="50"/>
      <c r="CM1190" s="50"/>
      <c r="CN1190" s="50"/>
      <c r="CO1190" s="50"/>
      <c r="CP1190" s="50"/>
      <c r="CQ1190" s="50"/>
      <c r="CR1190" s="50"/>
      <c r="CS1190" s="50"/>
    </row>
    <row r="1191" spans="1:97" ht="15" thickBot="1">
      <c r="A1191" s="49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111"/>
      <c r="O1191" s="111"/>
      <c r="P1191" s="111"/>
      <c r="Q1191" s="111"/>
      <c r="R1191" s="111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1"/>
      <c r="AF1191" s="111"/>
      <c r="AG1191" s="111"/>
      <c r="AH1191" s="111"/>
      <c r="AI1191" s="111"/>
      <c r="AJ1191" s="111"/>
      <c r="AK1191" s="111"/>
      <c r="AL1191" s="111"/>
      <c r="AM1191" s="111"/>
      <c r="AN1191" s="111"/>
      <c r="AO1191" s="111"/>
      <c r="AP1191" s="111"/>
      <c r="AQ1191" s="111"/>
      <c r="AR1191" s="111"/>
      <c r="AS1191" s="111"/>
      <c r="AT1191" s="111"/>
      <c r="AU1191" s="111"/>
      <c r="AV1191" s="50"/>
      <c r="AW1191" s="50"/>
      <c r="AX1191" s="50"/>
      <c r="AY1191" s="50"/>
      <c r="AZ1191" s="50"/>
      <c r="BA1191" s="50"/>
      <c r="BB1191" s="50"/>
      <c r="BC1191" s="50"/>
      <c r="BD1191" s="50"/>
      <c r="BE1191" s="50"/>
      <c r="BF1191" s="50"/>
      <c r="BG1191" s="50"/>
      <c r="BH1191" s="50"/>
      <c r="BI1191" s="50"/>
      <c r="BJ1191" s="50"/>
      <c r="BK1191" s="50"/>
      <c r="BL1191" s="50"/>
      <c r="BM1191" s="50"/>
      <c r="BN1191" s="50"/>
      <c r="BO1191" s="50"/>
      <c r="BP1191" s="50"/>
      <c r="BQ1191" s="50"/>
      <c r="BR1191" s="50"/>
      <c r="BS1191" s="111"/>
      <c r="BT1191" s="50"/>
      <c r="BU1191" s="50"/>
      <c r="BV1191" s="50"/>
      <c r="BW1191" s="50"/>
      <c r="BX1191" s="50"/>
      <c r="BY1191" s="50"/>
      <c r="BZ1191" s="50"/>
      <c r="CA1191" s="50"/>
      <c r="CB1191" s="50"/>
      <c r="CC1191" s="50"/>
      <c r="CD1191" s="50"/>
      <c r="CE1191" s="50"/>
      <c r="CF1191" s="50"/>
      <c r="CG1191" s="50"/>
      <c r="CH1191" s="50"/>
      <c r="CI1191" s="50"/>
      <c r="CJ1191" s="50"/>
      <c r="CK1191" s="50"/>
      <c r="CL1191" s="50"/>
      <c r="CM1191" s="50"/>
      <c r="CN1191" s="50"/>
      <c r="CO1191" s="50"/>
      <c r="CP1191" s="50"/>
      <c r="CQ1191" s="50"/>
      <c r="CR1191" s="50"/>
      <c r="CS1191" s="50"/>
    </row>
    <row r="1192" spans="1:97" ht="15" thickBot="1">
      <c r="A1192" s="49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111"/>
      <c r="O1192" s="111"/>
      <c r="P1192" s="111"/>
      <c r="Q1192" s="111"/>
      <c r="R1192" s="111"/>
      <c r="S1192" s="111"/>
      <c r="T1192" s="111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1"/>
      <c r="AF1192" s="111"/>
      <c r="AG1192" s="111"/>
      <c r="AH1192" s="111"/>
      <c r="AI1192" s="111"/>
      <c r="AJ1192" s="111"/>
      <c r="AK1192" s="111"/>
      <c r="AL1192" s="111"/>
      <c r="AM1192" s="111"/>
      <c r="AN1192" s="111"/>
      <c r="AO1192" s="111"/>
      <c r="AP1192" s="111"/>
      <c r="AQ1192" s="111"/>
      <c r="AR1192" s="111"/>
      <c r="AS1192" s="111"/>
      <c r="AT1192" s="111"/>
      <c r="AU1192" s="111"/>
      <c r="AV1192" s="50"/>
      <c r="AW1192" s="50"/>
      <c r="AX1192" s="50"/>
      <c r="AY1192" s="50"/>
      <c r="AZ1192" s="50"/>
      <c r="BA1192" s="50"/>
      <c r="BB1192" s="50"/>
      <c r="BC1192" s="50"/>
      <c r="BD1192" s="50"/>
      <c r="BE1192" s="50"/>
      <c r="BF1192" s="50"/>
      <c r="BG1192" s="50"/>
      <c r="BH1192" s="50"/>
      <c r="BI1192" s="50"/>
      <c r="BJ1192" s="50"/>
      <c r="BK1192" s="50"/>
      <c r="BL1192" s="50"/>
      <c r="BM1192" s="50"/>
      <c r="BN1192" s="50"/>
      <c r="BO1192" s="50"/>
      <c r="BP1192" s="50"/>
      <c r="BQ1192" s="50"/>
      <c r="BR1192" s="50"/>
      <c r="BS1192" s="111"/>
      <c r="BT1192" s="50"/>
      <c r="BU1192" s="50"/>
      <c r="BV1192" s="50"/>
      <c r="BW1192" s="50"/>
      <c r="BX1192" s="50"/>
      <c r="BY1192" s="50"/>
      <c r="BZ1192" s="50"/>
      <c r="CA1192" s="50"/>
      <c r="CB1192" s="50"/>
      <c r="CC1192" s="50"/>
      <c r="CD1192" s="50"/>
      <c r="CE1192" s="50"/>
      <c r="CF1192" s="50"/>
      <c r="CG1192" s="50"/>
      <c r="CH1192" s="50"/>
      <c r="CI1192" s="50"/>
      <c r="CJ1192" s="50"/>
      <c r="CK1192" s="50"/>
      <c r="CL1192" s="50"/>
      <c r="CM1192" s="50"/>
      <c r="CN1192" s="50"/>
      <c r="CO1192" s="50"/>
      <c r="CP1192" s="50"/>
      <c r="CQ1192" s="50"/>
      <c r="CR1192" s="50"/>
      <c r="CS1192" s="50"/>
    </row>
    <row r="1193" spans="1:97" ht="15" thickBot="1">
      <c r="A1193" s="49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111"/>
      <c r="O1193" s="111"/>
      <c r="P1193" s="111"/>
      <c r="Q1193" s="111"/>
      <c r="R1193" s="111"/>
      <c r="S1193" s="111"/>
      <c r="T1193" s="111"/>
      <c r="U1193" s="111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1"/>
      <c r="AF1193" s="111"/>
      <c r="AG1193" s="111"/>
      <c r="AH1193" s="111"/>
      <c r="AI1193" s="111"/>
      <c r="AJ1193" s="111"/>
      <c r="AK1193" s="111"/>
      <c r="AL1193" s="111"/>
      <c r="AM1193" s="111"/>
      <c r="AN1193" s="111"/>
      <c r="AO1193" s="111"/>
      <c r="AP1193" s="111"/>
      <c r="AQ1193" s="111"/>
      <c r="AR1193" s="111"/>
      <c r="AS1193" s="111"/>
      <c r="AT1193" s="111"/>
      <c r="AU1193" s="111"/>
      <c r="AV1193" s="50"/>
      <c r="AW1193" s="50"/>
      <c r="AX1193" s="50"/>
      <c r="AY1193" s="50"/>
      <c r="AZ1193" s="50"/>
      <c r="BA1193" s="50"/>
      <c r="BB1193" s="50"/>
      <c r="BC1193" s="50"/>
      <c r="BD1193" s="50"/>
      <c r="BE1193" s="50"/>
      <c r="BF1193" s="50"/>
      <c r="BG1193" s="50"/>
      <c r="BH1193" s="50"/>
      <c r="BI1193" s="50"/>
      <c r="BJ1193" s="50"/>
      <c r="BK1193" s="50"/>
      <c r="BL1193" s="50"/>
      <c r="BM1193" s="50"/>
      <c r="BN1193" s="50"/>
      <c r="BO1193" s="50"/>
      <c r="BP1193" s="50"/>
      <c r="BQ1193" s="50"/>
      <c r="BR1193" s="50"/>
      <c r="BS1193" s="111"/>
      <c r="BT1193" s="50"/>
      <c r="BU1193" s="50"/>
      <c r="BV1193" s="50"/>
      <c r="BW1193" s="50"/>
      <c r="BX1193" s="50"/>
      <c r="BY1193" s="50"/>
      <c r="BZ1193" s="50"/>
      <c r="CA1193" s="50"/>
      <c r="CB1193" s="50"/>
      <c r="CC1193" s="50"/>
      <c r="CD1193" s="50"/>
      <c r="CE1193" s="50"/>
      <c r="CF1193" s="50"/>
      <c r="CG1193" s="50"/>
      <c r="CH1193" s="50"/>
      <c r="CI1193" s="50"/>
      <c r="CJ1193" s="50"/>
      <c r="CK1193" s="50"/>
      <c r="CL1193" s="50"/>
      <c r="CM1193" s="50"/>
      <c r="CN1193" s="50"/>
      <c r="CO1193" s="50"/>
      <c r="CP1193" s="50"/>
      <c r="CQ1193" s="50"/>
      <c r="CR1193" s="50"/>
      <c r="CS1193" s="50"/>
    </row>
    <row r="1194" spans="1:97" ht="15" thickBot="1">
      <c r="A1194" s="49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111"/>
      <c r="O1194" s="111"/>
      <c r="P1194" s="111"/>
      <c r="Q1194" s="111"/>
      <c r="R1194" s="111"/>
      <c r="S1194" s="111"/>
      <c r="T1194" s="111"/>
      <c r="U1194" s="111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1"/>
      <c r="AF1194" s="111"/>
      <c r="AG1194" s="111"/>
      <c r="AH1194" s="111"/>
      <c r="AI1194" s="111"/>
      <c r="AJ1194" s="111"/>
      <c r="AK1194" s="111"/>
      <c r="AL1194" s="111"/>
      <c r="AM1194" s="111"/>
      <c r="AN1194" s="111"/>
      <c r="AO1194" s="111"/>
      <c r="AP1194" s="111"/>
      <c r="AQ1194" s="111"/>
      <c r="AR1194" s="111"/>
      <c r="AS1194" s="111"/>
      <c r="AT1194" s="111"/>
      <c r="AU1194" s="111"/>
      <c r="AV1194" s="50"/>
      <c r="AW1194" s="50"/>
      <c r="AX1194" s="50"/>
      <c r="AY1194" s="50"/>
      <c r="AZ1194" s="50"/>
      <c r="BA1194" s="50"/>
      <c r="BB1194" s="50"/>
      <c r="BC1194" s="50"/>
      <c r="BD1194" s="50"/>
      <c r="BE1194" s="50"/>
      <c r="BF1194" s="50"/>
      <c r="BG1194" s="50"/>
      <c r="BH1194" s="50"/>
      <c r="BI1194" s="50"/>
      <c r="BJ1194" s="50"/>
      <c r="BK1194" s="50"/>
      <c r="BL1194" s="50"/>
      <c r="BM1194" s="50"/>
      <c r="BN1194" s="50"/>
      <c r="BO1194" s="50"/>
      <c r="BP1194" s="50"/>
      <c r="BQ1194" s="50"/>
      <c r="BR1194" s="50"/>
      <c r="BS1194" s="111"/>
      <c r="BT1194" s="50"/>
      <c r="BU1194" s="50"/>
      <c r="BV1194" s="50"/>
      <c r="BW1194" s="50"/>
      <c r="BX1194" s="50"/>
      <c r="BY1194" s="50"/>
      <c r="BZ1194" s="50"/>
      <c r="CA1194" s="50"/>
      <c r="CB1194" s="50"/>
      <c r="CC1194" s="50"/>
      <c r="CD1194" s="50"/>
      <c r="CE1194" s="50"/>
      <c r="CF1194" s="50"/>
      <c r="CG1194" s="50"/>
      <c r="CH1194" s="50"/>
      <c r="CI1194" s="50"/>
      <c r="CJ1194" s="50"/>
      <c r="CK1194" s="50"/>
      <c r="CL1194" s="50"/>
      <c r="CM1194" s="50"/>
      <c r="CN1194" s="50"/>
      <c r="CO1194" s="50"/>
      <c r="CP1194" s="50"/>
      <c r="CQ1194" s="50"/>
      <c r="CR1194" s="50"/>
      <c r="CS1194" s="50"/>
    </row>
    <row r="1195" spans="1:97" ht="15" thickBot="1">
      <c r="A1195" s="49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111"/>
      <c r="O1195" s="111"/>
      <c r="P1195" s="111"/>
      <c r="Q1195" s="111"/>
      <c r="R1195" s="111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1"/>
      <c r="AF1195" s="111"/>
      <c r="AG1195" s="111"/>
      <c r="AH1195" s="111"/>
      <c r="AI1195" s="111"/>
      <c r="AJ1195" s="111"/>
      <c r="AK1195" s="111"/>
      <c r="AL1195" s="111"/>
      <c r="AM1195" s="111"/>
      <c r="AN1195" s="111"/>
      <c r="AO1195" s="111"/>
      <c r="AP1195" s="111"/>
      <c r="AQ1195" s="111"/>
      <c r="AR1195" s="111"/>
      <c r="AS1195" s="111"/>
      <c r="AT1195" s="111"/>
      <c r="AU1195" s="111"/>
      <c r="AV1195" s="50"/>
      <c r="AW1195" s="50"/>
      <c r="AX1195" s="50"/>
      <c r="AY1195" s="50"/>
      <c r="AZ1195" s="50"/>
      <c r="BA1195" s="50"/>
      <c r="BB1195" s="50"/>
      <c r="BC1195" s="50"/>
      <c r="BD1195" s="50"/>
      <c r="BE1195" s="50"/>
      <c r="BF1195" s="50"/>
      <c r="BG1195" s="50"/>
      <c r="BH1195" s="50"/>
      <c r="BI1195" s="50"/>
      <c r="BJ1195" s="50"/>
      <c r="BK1195" s="50"/>
      <c r="BL1195" s="50"/>
      <c r="BM1195" s="50"/>
      <c r="BN1195" s="50"/>
      <c r="BO1195" s="50"/>
      <c r="BP1195" s="50"/>
      <c r="BQ1195" s="50"/>
      <c r="BR1195" s="50"/>
      <c r="BS1195" s="111"/>
      <c r="BT1195" s="50"/>
      <c r="BU1195" s="50"/>
      <c r="BV1195" s="50"/>
      <c r="BW1195" s="50"/>
      <c r="BX1195" s="50"/>
      <c r="BY1195" s="50"/>
      <c r="BZ1195" s="50"/>
      <c r="CA1195" s="50"/>
      <c r="CB1195" s="50"/>
      <c r="CC1195" s="50"/>
      <c r="CD1195" s="50"/>
      <c r="CE1195" s="50"/>
      <c r="CF1195" s="50"/>
      <c r="CG1195" s="50"/>
      <c r="CH1195" s="50"/>
      <c r="CI1195" s="50"/>
      <c r="CJ1195" s="50"/>
      <c r="CK1195" s="50"/>
      <c r="CL1195" s="50"/>
      <c r="CM1195" s="50"/>
      <c r="CN1195" s="50"/>
      <c r="CO1195" s="50"/>
      <c r="CP1195" s="50"/>
      <c r="CQ1195" s="50"/>
      <c r="CR1195" s="50"/>
      <c r="CS1195" s="50"/>
    </row>
    <row r="1196" spans="1:97" ht="15" thickBot="1">
      <c r="A1196" s="49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111"/>
      <c r="O1196" s="111"/>
      <c r="P1196" s="111"/>
      <c r="Q1196" s="111"/>
      <c r="R1196" s="111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1"/>
      <c r="AF1196" s="111"/>
      <c r="AG1196" s="111"/>
      <c r="AH1196" s="111"/>
      <c r="AI1196" s="111"/>
      <c r="AJ1196" s="111"/>
      <c r="AK1196" s="111"/>
      <c r="AL1196" s="111"/>
      <c r="AM1196" s="111"/>
      <c r="AN1196" s="111"/>
      <c r="AO1196" s="111"/>
      <c r="AP1196" s="111"/>
      <c r="AQ1196" s="111"/>
      <c r="AR1196" s="111"/>
      <c r="AS1196" s="111"/>
      <c r="AT1196" s="111"/>
      <c r="AU1196" s="111"/>
      <c r="AV1196" s="50"/>
      <c r="AW1196" s="50"/>
      <c r="AX1196" s="50"/>
      <c r="AY1196" s="50"/>
      <c r="AZ1196" s="50"/>
      <c r="BA1196" s="50"/>
      <c r="BB1196" s="50"/>
      <c r="BC1196" s="50"/>
      <c r="BD1196" s="50"/>
      <c r="BE1196" s="50"/>
      <c r="BF1196" s="50"/>
      <c r="BG1196" s="50"/>
      <c r="BH1196" s="50"/>
      <c r="BI1196" s="50"/>
      <c r="BJ1196" s="50"/>
      <c r="BK1196" s="50"/>
      <c r="BL1196" s="50"/>
      <c r="BM1196" s="50"/>
      <c r="BN1196" s="50"/>
      <c r="BO1196" s="50"/>
      <c r="BP1196" s="50"/>
      <c r="BQ1196" s="50"/>
      <c r="BR1196" s="50"/>
      <c r="BS1196" s="111"/>
      <c r="BT1196" s="50"/>
      <c r="BU1196" s="50"/>
      <c r="BV1196" s="50"/>
      <c r="BW1196" s="50"/>
      <c r="BX1196" s="50"/>
      <c r="BY1196" s="50"/>
      <c r="BZ1196" s="50"/>
      <c r="CA1196" s="50"/>
      <c r="CB1196" s="50"/>
      <c r="CC1196" s="50"/>
      <c r="CD1196" s="50"/>
      <c r="CE1196" s="50"/>
      <c r="CF1196" s="50"/>
      <c r="CG1196" s="50"/>
      <c r="CH1196" s="50"/>
      <c r="CI1196" s="50"/>
      <c r="CJ1196" s="50"/>
      <c r="CK1196" s="50"/>
      <c r="CL1196" s="50"/>
      <c r="CM1196" s="50"/>
      <c r="CN1196" s="50"/>
      <c r="CO1196" s="50"/>
      <c r="CP1196" s="50"/>
      <c r="CQ1196" s="50"/>
      <c r="CR1196" s="50"/>
      <c r="CS1196" s="50"/>
    </row>
    <row r="1197" spans="1:97" ht="15" thickBot="1">
      <c r="A1197" s="49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111"/>
      <c r="O1197" s="111"/>
      <c r="P1197" s="111"/>
      <c r="Q1197" s="111"/>
      <c r="R1197" s="111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1"/>
      <c r="AF1197" s="111"/>
      <c r="AG1197" s="111"/>
      <c r="AH1197" s="111"/>
      <c r="AI1197" s="111"/>
      <c r="AJ1197" s="111"/>
      <c r="AK1197" s="111"/>
      <c r="AL1197" s="111"/>
      <c r="AM1197" s="111"/>
      <c r="AN1197" s="111"/>
      <c r="AO1197" s="111"/>
      <c r="AP1197" s="111"/>
      <c r="AQ1197" s="111"/>
      <c r="AR1197" s="111"/>
      <c r="AS1197" s="111"/>
      <c r="AT1197" s="111"/>
      <c r="AU1197" s="111"/>
      <c r="AV1197" s="50"/>
      <c r="AW1197" s="50"/>
      <c r="AX1197" s="50"/>
      <c r="AY1197" s="50"/>
      <c r="AZ1197" s="50"/>
      <c r="BA1197" s="50"/>
      <c r="BB1197" s="50"/>
      <c r="BC1197" s="50"/>
      <c r="BD1197" s="50"/>
      <c r="BE1197" s="50"/>
      <c r="BF1197" s="50"/>
      <c r="BG1197" s="50"/>
      <c r="BH1197" s="50"/>
      <c r="BI1197" s="50"/>
      <c r="BJ1197" s="50"/>
      <c r="BK1197" s="50"/>
      <c r="BL1197" s="50"/>
      <c r="BM1197" s="50"/>
      <c r="BN1197" s="50"/>
      <c r="BO1197" s="50"/>
      <c r="BP1197" s="50"/>
      <c r="BQ1197" s="50"/>
      <c r="BR1197" s="50"/>
      <c r="BS1197" s="111"/>
      <c r="BT1197" s="50"/>
      <c r="BU1197" s="50"/>
      <c r="BV1197" s="50"/>
      <c r="BW1197" s="50"/>
      <c r="BX1197" s="50"/>
      <c r="BY1197" s="50"/>
      <c r="BZ1197" s="50"/>
      <c r="CA1197" s="50"/>
      <c r="CB1197" s="50"/>
      <c r="CC1197" s="50"/>
      <c r="CD1197" s="50"/>
      <c r="CE1197" s="50"/>
      <c r="CF1197" s="50"/>
      <c r="CG1197" s="50"/>
      <c r="CH1197" s="50"/>
      <c r="CI1197" s="50"/>
      <c r="CJ1197" s="50"/>
      <c r="CK1197" s="50"/>
      <c r="CL1197" s="50"/>
      <c r="CM1197" s="50"/>
      <c r="CN1197" s="50"/>
      <c r="CO1197" s="50"/>
      <c r="CP1197" s="50"/>
      <c r="CQ1197" s="50"/>
      <c r="CR1197" s="50"/>
      <c r="CS1197" s="50"/>
    </row>
    <row r="1198" spans="1:97" ht="15" thickBot="1">
      <c r="A1198" s="49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111"/>
      <c r="O1198" s="111"/>
      <c r="P1198" s="111"/>
      <c r="Q1198" s="111"/>
      <c r="R1198" s="111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1"/>
      <c r="AF1198" s="111"/>
      <c r="AG1198" s="111"/>
      <c r="AH1198" s="111"/>
      <c r="AI1198" s="111"/>
      <c r="AJ1198" s="111"/>
      <c r="AK1198" s="111"/>
      <c r="AL1198" s="111"/>
      <c r="AM1198" s="111"/>
      <c r="AN1198" s="111"/>
      <c r="AO1198" s="111"/>
      <c r="AP1198" s="111"/>
      <c r="AQ1198" s="111"/>
      <c r="AR1198" s="111"/>
      <c r="AS1198" s="111"/>
      <c r="AT1198" s="111"/>
      <c r="AU1198" s="111"/>
      <c r="AV1198" s="50"/>
      <c r="AW1198" s="50"/>
      <c r="AX1198" s="50"/>
      <c r="AY1198" s="50"/>
      <c r="AZ1198" s="50"/>
      <c r="BA1198" s="50"/>
      <c r="BB1198" s="50"/>
      <c r="BC1198" s="50"/>
      <c r="BD1198" s="50"/>
      <c r="BE1198" s="50"/>
      <c r="BF1198" s="50"/>
      <c r="BG1198" s="50"/>
      <c r="BH1198" s="50"/>
      <c r="BI1198" s="50"/>
      <c r="BJ1198" s="50"/>
      <c r="BK1198" s="50"/>
      <c r="BL1198" s="50"/>
      <c r="BM1198" s="50"/>
      <c r="BN1198" s="50"/>
      <c r="BO1198" s="50"/>
      <c r="BP1198" s="50"/>
      <c r="BQ1198" s="50"/>
      <c r="BR1198" s="50"/>
      <c r="BS1198" s="111"/>
      <c r="BT1198" s="50"/>
      <c r="BU1198" s="50"/>
      <c r="BV1198" s="50"/>
      <c r="BW1198" s="50"/>
      <c r="BX1198" s="50"/>
      <c r="BY1198" s="50"/>
      <c r="BZ1198" s="50"/>
      <c r="CA1198" s="50"/>
      <c r="CB1198" s="50"/>
      <c r="CC1198" s="50"/>
      <c r="CD1198" s="50"/>
      <c r="CE1198" s="50"/>
      <c r="CF1198" s="50"/>
      <c r="CG1198" s="50"/>
      <c r="CH1198" s="50"/>
      <c r="CI1198" s="50"/>
      <c r="CJ1198" s="50"/>
      <c r="CK1198" s="50"/>
      <c r="CL1198" s="50"/>
      <c r="CM1198" s="50"/>
      <c r="CN1198" s="50"/>
      <c r="CO1198" s="50"/>
      <c r="CP1198" s="50"/>
      <c r="CQ1198" s="50"/>
      <c r="CR1198" s="50"/>
      <c r="CS1198" s="50"/>
    </row>
    <row r="1199" spans="1:97" ht="15" thickBot="1">
      <c r="A1199" s="49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111"/>
      <c r="O1199" s="111"/>
      <c r="P1199" s="111"/>
      <c r="Q1199" s="111"/>
      <c r="R1199" s="111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1"/>
      <c r="AF1199" s="111"/>
      <c r="AG1199" s="111"/>
      <c r="AH1199" s="111"/>
      <c r="AI1199" s="111"/>
      <c r="AJ1199" s="111"/>
      <c r="AK1199" s="111"/>
      <c r="AL1199" s="111"/>
      <c r="AM1199" s="111"/>
      <c r="AN1199" s="111"/>
      <c r="AO1199" s="111"/>
      <c r="AP1199" s="111"/>
      <c r="AQ1199" s="111"/>
      <c r="AR1199" s="111"/>
      <c r="AS1199" s="111"/>
      <c r="AT1199" s="111"/>
      <c r="AU1199" s="111"/>
      <c r="AV1199" s="50"/>
      <c r="AW1199" s="50"/>
      <c r="AX1199" s="50"/>
      <c r="AY1199" s="50"/>
      <c r="AZ1199" s="50"/>
      <c r="BA1199" s="50"/>
      <c r="BB1199" s="50"/>
      <c r="BC1199" s="50"/>
      <c r="BD1199" s="50"/>
      <c r="BE1199" s="50"/>
      <c r="BF1199" s="50"/>
      <c r="BG1199" s="50"/>
      <c r="BH1199" s="50"/>
      <c r="BI1199" s="50"/>
      <c r="BJ1199" s="50"/>
      <c r="BK1199" s="50"/>
      <c r="BL1199" s="50"/>
      <c r="BM1199" s="50"/>
      <c r="BN1199" s="50"/>
      <c r="BO1199" s="50"/>
      <c r="BP1199" s="50"/>
      <c r="BQ1199" s="50"/>
      <c r="BR1199" s="50"/>
      <c r="BS1199" s="111"/>
      <c r="BT1199" s="50"/>
      <c r="BU1199" s="50"/>
      <c r="BV1199" s="50"/>
      <c r="BW1199" s="50"/>
      <c r="BX1199" s="50"/>
      <c r="BY1199" s="50"/>
      <c r="BZ1199" s="50"/>
      <c r="CA1199" s="50"/>
      <c r="CB1199" s="50"/>
      <c r="CC1199" s="50"/>
      <c r="CD1199" s="50"/>
      <c r="CE1199" s="50"/>
      <c r="CF1199" s="50"/>
      <c r="CG1199" s="50"/>
      <c r="CH1199" s="50"/>
      <c r="CI1199" s="50"/>
      <c r="CJ1199" s="50"/>
      <c r="CK1199" s="50"/>
      <c r="CL1199" s="50"/>
      <c r="CM1199" s="50"/>
      <c r="CN1199" s="50"/>
      <c r="CO1199" s="50"/>
      <c r="CP1199" s="50"/>
      <c r="CQ1199" s="50"/>
      <c r="CR1199" s="50"/>
      <c r="CS1199" s="50"/>
    </row>
    <row r="1200" spans="1:97" ht="15" thickBot="1">
      <c r="A1200" s="49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111"/>
      <c r="O1200" s="111"/>
      <c r="P1200" s="111"/>
      <c r="Q1200" s="111"/>
      <c r="R1200" s="111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1"/>
      <c r="AF1200" s="111"/>
      <c r="AG1200" s="111"/>
      <c r="AH1200" s="111"/>
      <c r="AI1200" s="111"/>
      <c r="AJ1200" s="111"/>
      <c r="AK1200" s="111"/>
      <c r="AL1200" s="111"/>
      <c r="AM1200" s="111"/>
      <c r="AN1200" s="111"/>
      <c r="AO1200" s="111"/>
      <c r="AP1200" s="111"/>
      <c r="AQ1200" s="111"/>
      <c r="AR1200" s="111"/>
      <c r="AS1200" s="111"/>
      <c r="AT1200" s="111"/>
      <c r="AU1200" s="111"/>
      <c r="AV1200" s="50"/>
      <c r="AW1200" s="50"/>
      <c r="AX1200" s="50"/>
      <c r="AY1200" s="50"/>
      <c r="AZ1200" s="50"/>
      <c r="BA1200" s="50"/>
      <c r="BB1200" s="50"/>
      <c r="BC1200" s="50"/>
      <c r="BD1200" s="50"/>
      <c r="BE1200" s="50"/>
      <c r="BF1200" s="50"/>
      <c r="BG1200" s="50"/>
      <c r="BH1200" s="50"/>
      <c r="BI1200" s="50"/>
      <c r="BJ1200" s="50"/>
      <c r="BK1200" s="50"/>
      <c r="BL1200" s="50"/>
      <c r="BM1200" s="50"/>
      <c r="BN1200" s="50"/>
      <c r="BO1200" s="50"/>
      <c r="BP1200" s="50"/>
      <c r="BQ1200" s="50"/>
      <c r="BR1200" s="50"/>
      <c r="BS1200" s="111"/>
      <c r="BT1200" s="50"/>
      <c r="BU1200" s="50"/>
      <c r="BV1200" s="50"/>
      <c r="BW1200" s="50"/>
      <c r="BX1200" s="50"/>
      <c r="BY1200" s="50"/>
      <c r="BZ1200" s="50"/>
      <c r="CA1200" s="50"/>
      <c r="CB1200" s="50"/>
      <c r="CC1200" s="50"/>
      <c r="CD1200" s="50"/>
      <c r="CE1200" s="50"/>
      <c r="CF1200" s="50"/>
      <c r="CG1200" s="50"/>
      <c r="CH1200" s="50"/>
      <c r="CI1200" s="50"/>
      <c r="CJ1200" s="50"/>
      <c r="CK1200" s="50"/>
      <c r="CL1200" s="50"/>
      <c r="CM1200" s="50"/>
      <c r="CN1200" s="50"/>
      <c r="CO1200" s="50"/>
      <c r="CP1200" s="50"/>
      <c r="CQ1200" s="50"/>
      <c r="CR1200" s="50"/>
      <c r="CS1200" s="50"/>
    </row>
    <row r="1201" spans="1:97" ht="15" thickBot="1">
      <c r="A1201" s="49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111"/>
      <c r="O1201" s="111"/>
      <c r="P1201" s="111"/>
      <c r="Q1201" s="111"/>
      <c r="R1201" s="111"/>
      <c r="S1201" s="111"/>
      <c r="T1201" s="111"/>
      <c r="U1201" s="111"/>
      <c r="V1201" s="111"/>
      <c r="W1201" s="111"/>
      <c r="X1201" s="111"/>
      <c r="Y1201" s="111"/>
      <c r="Z1201" s="111"/>
      <c r="AA1201" s="111"/>
      <c r="AB1201" s="111"/>
      <c r="AC1201" s="111"/>
      <c r="AD1201" s="111"/>
      <c r="AE1201" s="111"/>
      <c r="AF1201" s="111"/>
      <c r="AG1201" s="111"/>
      <c r="AH1201" s="111"/>
      <c r="AI1201" s="111"/>
      <c r="AJ1201" s="111"/>
      <c r="AK1201" s="111"/>
      <c r="AL1201" s="111"/>
      <c r="AM1201" s="111"/>
      <c r="AN1201" s="111"/>
      <c r="AO1201" s="111"/>
      <c r="AP1201" s="111"/>
      <c r="AQ1201" s="111"/>
      <c r="AR1201" s="111"/>
      <c r="AS1201" s="111"/>
      <c r="AT1201" s="111"/>
      <c r="AU1201" s="111"/>
      <c r="AV1201" s="50"/>
      <c r="AW1201" s="50"/>
      <c r="AX1201" s="50"/>
      <c r="AY1201" s="50"/>
      <c r="AZ1201" s="50"/>
      <c r="BA1201" s="50"/>
      <c r="BB1201" s="50"/>
      <c r="BC1201" s="50"/>
      <c r="BD1201" s="50"/>
      <c r="BE1201" s="50"/>
      <c r="BF1201" s="50"/>
      <c r="BG1201" s="50"/>
      <c r="BH1201" s="50"/>
      <c r="BI1201" s="50"/>
      <c r="BJ1201" s="50"/>
      <c r="BK1201" s="50"/>
      <c r="BL1201" s="50"/>
      <c r="BM1201" s="50"/>
      <c r="BN1201" s="50"/>
      <c r="BO1201" s="50"/>
      <c r="BP1201" s="50"/>
      <c r="BQ1201" s="50"/>
      <c r="BR1201" s="50"/>
      <c r="BS1201" s="111"/>
      <c r="BT1201" s="50"/>
      <c r="BU1201" s="50"/>
      <c r="BV1201" s="50"/>
      <c r="BW1201" s="50"/>
      <c r="BX1201" s="50"/>
      <c r="BY1201" s="50"/>
      <c r="BZ1201" s="50"/>
      <c r="CA1201" s="50"/>
      <c r="CB1201" s="50"/>
      <c r="CC1201" s="50"/>
      <c r="CD1201" s="50"/>
      <c r="CE1201" s="50"/>
      <c r="CF1201" s="50"/>
      <c r="CG1201" s="50"/>
      <c r="CH1201" s="50"/>
      <c r="CI1201" s="50"/>
      <c r="CJ1201" s="50"/>
      <c r="CK1201" s="50"/>
      <c r="CL1201" s="50"/>
      <c r="CM1201" s="50"/>
      <c r="CN1201" s="50"/>
      <c r="CO1201" s="50"/>
      <c r="CP1201" s="50"/>
      <c r="CQ1201" s="50"/>
      <c r="CR1201" s="50"/>
      <c r="CS1201" s="50"/>
    </row>
    <row r="1202" spans="1:97" ht="15" thickBot="1">
      <c r="A1202" s="49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111"/>
      <c r="O1202" s="111"/>
      <c r="P1202" s="111"/>
      <c r="Q1202" s="111"/>
      <c r="R1202" s="111"/>
      <c r="S1202" s="111"/>
      <c r="T1202" s="111"/>
      <c r="U1202" s="111"/>
      <c r="V1202" s="111"/>
      <c r="W1202" s="111"/>
      <c r="X1202" s="111"/>
      <c r="Y1202" s="111"/>
      <c r="Z1202" s="111"/>
      <c r="AA1202" s="111"/>
      <c r="AB1202" s="111"/>
      <c r="AC1202" s="111"/>
      <c r="AD1202" s="111"/>
      <c r="AE1202" s="111"/>
      <c r="AF1202" s="111"/>
      <c r="AG1202" s="111"/>
      <c r="AH1202" s="111"/>
      <c r="AI1202" s="111"/>
      <c r="AJ1202" s="111"/>
      <c r="AK1202" s="111"/>
      <c r="AL1202" s="111"/>
      <c r="AM1202" s="111"/>
      <c r="AN1202" s="111"/>
      <c r="AO1202" s="111"/>
      <c r="AP1202" s="111"/>
      <c r="AQ1202" s="111"/>
      <c r="AR1202" s="111"/>
      <c r="AS1202" s="111"/>
      <c r="AT1202" s="111"/>
      <c r="AU1202" s="111"/>
      <c r="AV1202" s="50"/>
      <c r="AW1202" s="50"/>
      <c r="AX1202" s="50"/>
      <c r="AY1202" s="50"/>
      <c r="AZ1202" s="50"/>
      <c r="BA1202" s="50"/>
      <c r="BB1202" s="50"/>
      <c r="BC1202" s="50"/>
      <c r="BD1202" s="50"/>
      <c r="BE1202" s="50"/>
      <c r="BF1202" s="50"/>
      <c r="BG1202" s="50"/>
      <c r="BH1202" s="50"/>
      <c r="BI1202" s="50"/>
      <c r="BJ1202" s="50"/>
      <c r="BK1202" s="50"/>
      <c r="BL1202" s="50"/>
      <c r="BM1202" s="50"/>
      <c r="BN1202" s="50"/>
      <c r="BO1202" s="50"/>
      <c r="BP1202" s="50"/>
      <c r="BQ1202" s="50"/>
      <c r="BR1202" s="50"/>
      <c r="BS1202" s="111"/>
      <c r="BT1202" s="50"/>
      <c r="BU1202" s="50"/>
      <c r="BV1202" s="50"/>
      <c r="BW1202" s="50"/>
      <c r="BX1202" s="50"/>
      <c r="BY1202" s="50"/>
      <c r="BZ1202" s="50"/>
      <c r="CA1202" s="50"/>
      <c r="CB1202" s="50"/>
      <c r="CC1202" s="50"/>
      <c r="CD1202" s="50"/>
      <c r="CE1202" s="50"/>
      <c r="CF1202" s="50"/>
      <c r="CG1202" s="50"/>
      <c r="CH1202" s="50"/>
      <c r="CI1202" s="50"/>
      <c r="CJ1202" s="50"/>
      <c r="CK1202" s="50"/>
      <c r="CL1202" s="50"/>
      <c r="CM1202" s="50"/>
      <c r="CN1202" s="50"/>
      <c r="CO1202" s="50"/>
      <c r="CP1202" s="50"/>
      <c r="CQ1202" s="50"/>
      <c r="CR1202" s="50"/>
      <c r="CS1202" s="50"/>
    </row>
    <row r="1203" spans="1:97" ht="15" thickBot="1">
      <c r="A1203" s="49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111"/>
      <c r="O1203" s="111"/>
      <c r="P1203" s="111"/>
      <c r="Q1203" s="111"/>
      <c r="R1203" s="111"/>
      <c r="S1203" s="111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1"/>
      <c r="AF1203" s="111"/>
      <c r="AG1203" s="111"/>
      <c r="AH1203" s="111"/>
      <c r="AI1203" s="111"/>
      <c r="AJ1203" s="111"/>
      <c r="AK1203" s="111"/>
      <c r="AL1203" s="111"/>
      <c r="AM1203" s="111"/>
      <c r="AN1203" s="111"/>
      <c r="AO1203" s="111"/>
      <c r="AP1203" s="111"/>
      <c r="AQ1203" s="111"/>
      <c r="AR1203" s="111"/>
      <c r="AS1203" s="111"/>
      <c r="AT1203" s="111"/>
      <c r="AU1203" s="111"/>
      <c r="AV1203" s="50"/>
      <c r="AW1203" s="50"/>
      <c r="AX1203" s="50"/>
      <c r="AY1203" s="50"/>
      <c r="AZ1203" s="50"/>
      <c r="BA1203" s="50"/>
      <c r="BB1203" s="50"/>
      <c r="BC1203" s="50"/>
      <c r="BD1203" s="50"/>
      <c r="BE1203" s="50"/>
      <c r="BF1203" s="50"/>
      <c r="BG1203" s="50"/>
      <c r="BH1203" s="50"/>
      <c r="BI1203" s="50"/>
      <c r="BJ1203" s="50"/>
      <c r="BK1203" s="50"/>
      <c r="BL1203" s="50"/>
      <c r="BM1203" s="50"/>
      <c r="BN1203" s="50"/>
      <c r="BO1203" s="50"/>
      <c r="BP1203" s="50"/>
      <c r="BQ1203" s="50"/>
      <c r="BR1203" s="50"/>
      <c r="BS1203" s="111"/>
      <c r="BT1203" s="50"/>
      <c r="BU1203" s="50"/>
      <c r="BV1203" s="50"/>
      <c r="BW1203" s="50"/>
      <c r="BX1203" s="50"/>
      <c r="BY1203" s="50"/>
      <c r="BZ1203" s="50"/>
      <c r="CA1203" s="50"/>
      <c r="CB1203" s="50"/>
      <c r="CC1203" s="50"/>
      <c r="CD1203" s="50"/>
      <c r="CE1203" s="50"/>
      <c r="CF1203" s="50"/>
      <c r="CG1203" s="50"/>
      <c r="CH1203" s="50"/>
      <c r="CI1203" s="50"/>
      <c r="CJ1203" s="50"/>
      <c r="CK1203" s="50"/>
      <c r="CL1203" s="50"/>
      <c r="CM1203" s="50"/>
      <c r="CN1203" s="50"/>
      <c r="CO1203" s="50"/>
      <c r="CP1203" s="50"/>
      <c r="CQ1203" s="50"/>
      <c r="CR1203" s="50"/>
      <c r="CS1203" s="50"/>
    </row>
    <row r="1204" spans="1:97" ht="15" thickBot="1">
      <c r="A1204" s="49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111"/>
      <c r="O1204" s="111"/>
      <c r="P1204" s="111"/>
      <c r="Q1204" s="111"/>
      <c r="R1204" s="111"/>
      <c r="S1204" s="111"/>
      <c r="T1204" s="111"/>
      <c r="U1204" s="111"/>
      <c r="V1204" s="111"/>
      <c r="W1204" s="111"/>
      <c r="X1204" s="111"/>
      <c r="Y1204" s="111"/>
      <c r="Z1204" s="111"/>
      <c r="AA1204" s="111"/>
      <c r="AB1204" s="111"/>
      <c r="AC1204" s="111"/>
      <c r="AD1204" s="111"/>
      <c r="AE1204" s="111"/>
      <c r="AF1204" s="111"/>
      <c r="AG1204" s="111"/>
      <c r="AH1204" s="111"/>
      <c r="AI1204" s="111"/>
      <c r="AJ1204" s="111"/>
      <c r="AK1204" s="111"/>
      <c r="AL1204" s="111"/>
      <c r="AM1204" s="111"/>
      <c r="AN1204" s="111"/>
      <c r="AO1204" s="111"/>
      <c r="AP1204" s="111"/>
      <c r="AQ1204" s="111"/>
      <c r="AR1204" s="111"/>
      <c r="AS1204" s="111"/>
      <c r="AT1204" s="111"/>
      <c r="AU1204" s="111"/>
      <c r="AV1204" s="50"/>
      <c r="AW1204" s="50"/>
      <c r="AX1204" s="50"/>
      <c r="AY1204" s="50"/>
      <c r="AZ1204" s="50"/>
      <c r="BA1204" s="50"/>
      <c r="BB1204" s="50"/>
      <c r="BC1204" s="50"/>
      <c r="BD1204" s="50"/>
      <c r="BE1204" s="50"/>
      <c r="BF1204" s="50"/>
      <c r="BG1204" s="50"/>
      <c r="BH1204" s="50"/>
      <c r="BI1204" s="50"/>
      <c r="BJ1204" s="50"/>
      <c r="BK1204" s="50"/>
      <c r="BL1204" s="50"/>
      <c r="BM1204" s="50"/>
      <c r="BN1204" s="50"/>
      <c r="BO1204" s="50"/>
      <c r="BP1204" s="50"/>
      <c r="BQ1204" s="50"/>
      <c r="BR1204" s="50"/>
      <c r="BS1204" s="111"/>
      <c r="BT1204" s="50"/>
      <c r="BU1204" s="50"/>
      <c r="BV1204" s="50"/>
      <c r="BW1204" s="50"/>
      <c r="BX1204" s="50"/>
      <c r="BY1204" s="50"/>
      <c r="BZ1204" s="50"/>
      <c r="CA1204" s="50"/>
      <c r="CB1204" s="50"/>
      <c r="CC1204" s="50"/>
      <c r="CD1204" s="50"/>
      <c r="CE1204" s="50"/>
      <c r="CF1204" s="50"/>
      <c r="CG1204" s="50"/>
      <c r="CH1204" s="50"/>
      <c r="CI1204" s="50"/>
      <c r="CJ1204" s="50"/>
      <c r="CK1204" s="50"/>
      <c r="CL1204" s="50"/>
      <c r="CM1204" s="50"/>
      <c r="CN1204" s="50"/>
      <c r="CO1204" s="50"/>
      <c r="CP1204" s="50"/>
      <c r="CQ1204" s="50"/>
      <c r="CR1204" s="50"/>
      <c r="CS1204" s="50"/>
    </row>
    <row r="1205" spans="1:97" ht="15" thickBot="1">
      <c r="A1205" s="49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111"/>
      <c r="O1205" s="111"/>
      <c r="P1205" s="111"/>
      <c r="Q1205" s="111"/>
      <c r="R1205" s="111"/>
      <c r="S1205" s="111"/>
      <c r="T1205" s="111"/>
      <c r="U1205" s="111"/>
      <c r="V1205" s="111"/>
      <c r="W1205" s="111"/>
      <c r="X1205" s="111"/>
      <c r="Y1205" s="111"/>
      <c r="Z1205" s="111"/>
      <c r="AA1205" s="111"/>
      <c r="AB1205" s="111"/>
      <c r="AC1205" s="111"/>
      <c r="AD1205" s="111"/>
      <c r="AE1205" s="111"/>
      <c r="AF1205" s="111"/>
      <c r="AG1205" s="111"/>
      <c r="AH1205" s="111"/>
      <c r="AI1205" s="111"/>
      <c r="AJ1205" s="111"/>
      <c r="AK1205" s="111"/>
      <c r="AL1205" s="111"/>
      <c r="AM1205" s="111"/>
      <c r="AN1205" s="111"/>
      <c r="AO1205" s="111"/>
      <c r="AP1205" s="111"/>
      <c r="AQ1205" s="111"/>
      <c r="AR1205" s="111"/>
      <c r="AS1205" s="111"/>
      <c r="AT1205" s="111"/>
      <c r="AU1205" s="111"/>
      <c r="AV1205" s="50"/>
      <c r="AW1205" s="50"/>
      <c r="AX1205" s="50"/>
      <c r="AY1205" s="50"/>
      <c r="AZ1205" s="50"/>
      <c r="BA1205" s="50"/>
      <c r="BB1205" s="50"/>
      <c r="BC1205" s="50"/>
      <c r="BD1205" s="50"/>
      <c r="BE1205" s="50"/>
      <c r="BF1205" s="50"/>
      <c r="BG1205" s="50"/>
      <c r="BH1205" s="50"/>
      <c r="BI1205" s="50"/>
      <c r="BJ1205" s="50"/>
      <c r="BK1205" s="50"/>
      <c r="BL1205" s="50"/>
      <c r="BM1205" s="50"/>
      <c r="BN1205" s="50"/>
      <c r="BO1205" s="50"/>
      <c r="BP1205" s="50"/>
      <c r="BQ1205" s="50"/>
      <c r="BR1205" s="50"/>
      <c r="BS1205" s="111"/>
      <c r="BT1205" s="50"/>
      <c r="BU1205" s="50"/>
      <c r="BV1205" s="50"/>
      <c r="BW1205" s="50"/>
      <c r="BX1205" s="50"/>
      <c r="BY1205" s="50"/>
      <c r="BZ1205" s="50"/>
      <c r="CA1205" s="50"/>
      <c r="CB1205" s="50"/>
      <c r="CC1205" s="50"/>
      <c r="CD1205" s="50"/>
      <c r="CE1205" s="50"/>
      <c r="CF1205" s="50"/>
      <c r="CG1205" s="50"/>
      <c r="CH1205" s="50"/>
      <c r="CI1205" s="50"/>
      <c r="CJ1205" s="50"/>
      <c r="CK1205" s="50"/>
      <c r="CL1205" s="50"/>
      <c r="CM1205" s="50"/>
      <c r="CN1205" s="50"/>
      <c r="CO1205" s="50"/>
      <c r="CP1205" s="50"/>
      <c r="CQ1205" s="50"/>
      <c r="CR1205" s="50"/>
      <c r="CS1205" s="50"/>
    </row>
    <row r="1206" spans="1:97" ht="15" thickBot="1">
      <c r="A1206" s="49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111"/>
      <c r="O1206" s="111"/>
      <c r="P1206" s="111"/>
      <c r="Q1206" s="111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1"/>
      <c r="AF1206" s="111"/>
      <c r="AG1206" s="111"/>
      <c r="AH1206" s="111"/>
      <c r="AI1206" s="111"/>
      <c r="AJ1206" s="111"/>
      <c r="AK1206" s="111"/>
      <c r="AL1206" s="111"/>
      <c r="AM1206" s="111"/>
      <c r="AN1206" s="111"/>
      <c r="AO1206" s="111"/>
      <c r="AP1206" s="111"/>
      <c r="AQ1206" s="111"/>
      <c r="AR1206" s="111"/>
      <c r="AS1206" s="111"/>
      <c r="AT1206" s="111"/>
      <c r="AU1206" s="111"/>
      <c r="AV1206" s="50"/>
      <c r="AW1206" s="50"/>
      <c r="AX1206" s="50"/>
      <c r="AY1206" s="50"/>
      <c r="AZ1206" s="50"/>
      <c r="BA1206" s="50"/>
      <c r="BB1206" s="50"/>
      <c r="BC1206" s="50"/>
      <c r="BD1206" s="50"/>
      <c r="BE1206" s="50"/>
      <c r="BF1206" s="50"/>
      <c r="BG1206" s="50"/>
      <c r="BH1206" s="50"/>
      <c r="BI1206" s="50"/>
      <c r="BJ1206" s="50"/>
      <c r="BK1206" s="50"/>
      <c r="BL1206" s="50"/>
      <c r="BM1206" s="50"/>
      <c r="BN1206" s="50"/>
      <c r="BO1206" s="50"/>
      <c r="BP1206" s="50"/>
      <c r="BQ1206" s="50"/>
      <c r="BR1206" s="50"/>
      <c r="BS1206" s="111"/>
      <c r="BT1206" s="50"/>
      <c r="BU1206" s="50"/>
      <c r="BV1206" s="50"/>
      <c r="BW1206" s="50"/>
      <c r="BX1206" s="50"/>
      <c r="BY1206" s="50"/>
      <c r="BZ1206" s="50"/>
      <c r="CA1206" s="50"/>
      <c r="CB1206" s="50"/>
      <c r="CC1206" s="50"/>
      <c r="CD1206" s="50"/>
      <c r="CE1206" s="50"/>
      <c r="CF1206" s="50"/>
      <c r="CG1206" s="50"/>
      <c r="CH1206" s="50"/>
      <c r="CI1206" s="50"/>
      <c r="CJ1206" s="50"/>
      <c r="CK1206" s="50"/>
      <c r="CL1206" s="50"/>
      <c r="CM1206" s="50"/>
      <c r="CN1206" s="50"/>
      <c r="CO1206" s="50"/>
      <c r="CP1206" s="50"/>
      <c r="CQ1206" s="50"/>
      <c r="CR1206" s="50"/>
      <c r="CS1206" s="50"/>
    </row>
    <row r="1207" spans="1:97" ht="15" thickBot="1">
      <c r="A1207" s="49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111"/>
      <c r="O1207" s="111"/>
      <c r="P1207" s="111"/>
      <c r="Q1207" s="111"/>
      <c r="R1207" s="111"/>
      <c r="S1207" s="111"/>
      <c r="T1207" s="111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1"/>
      <c r="AF1207" s="111"/>
      <c r="AG1207" s="111"/>
      <c r="AH1207" s="111"/>
      <c r="AI1207" s="111"/>
      <c r="AJ1207" s="111"/>
      <c r="AK1207" s="111"/>
      <c r="AL1207" s="111"/>
      <c r="AM1207" s="111"/>
      <c r="AN1207" s="111"/>
      <c r="AO1207" s="111"/>
      <c r="AP1207" s="111"/>
      <c r="AQ1207" s="111"/>
      <c r="AR1207" s="111"/>
      <c r="AS1207" s="111"/>
      <c r="AT1207" s="111"/>
      <c r="AU1207" s="111"/>
      <c r="AV1207" s="50"/>
      <c r="AW1207" s="50"/>
      <c r="AX1207" s="50"/>
      <c r="AY1207" s="50"/>
      <c r="AZ1207" s="50"/>
      <c r="BA1207" s="50"/>
      <c r="BB1207" s="50"/>
      <c r="BC1207" s="50"/>
      <c r="BD1207" s="50"/>
      <c r="BE1207" s="50"/>
      <c r="BF1207" s="50"/>
      <c r="BG1207" s="50"/>
      <c r="BH1207" s="50"/>
      <c r="BI1207" s="50"/>
      <c r="BJ1207" s="50"/>
      <c r="BK1207" s="50"/>
      <c r="BL1207" s="50"/>
      <c r="BM1207" s="50"/>
      <c r="BN1207" s="50"/>
      <c r="BO1207" s="50"/>
      <c r="BP1207" s="50"/>
      <c r="BQ1207" s="50"/>
      <c r="BR1207" s="50"/>
      <c r="BS1207" s="111"/>
      <c r="BT1207" s="50"/>
      <c r="BU1207" s="50"/>
      <c r="BV1207" s="50"/>
      <c r="BW1207" s="50"/>
      <c r="BX1207" s="50"/>
      <c r="BY1207" s="50"/>
      <c r="BZ1207" s="50"/>
      <c r="CA1207" s="50"/>
      <c r="CB1207" s="50"/>
      <c r="CC1207" s="50"/>
      <c r="CD1207" s="50"/>
      <c r="CE1207" s="50"/>
      <c r="CF1207" s="50"/>
      <c r="CG1207" s="50"/>
      <c r="CH1207" s="50"/>
      <c r="CI1207" s="50"/>
      <c r="CJ1207" s="50"/>
      <c r="CK1207" s="50"/>
      <c r="CL1207" s="50"/>
      <c r="CM1207" s="50"/>
      <c r="CN1207" s="50"/>
      <c r="CO1207" s="50"/>
      <c r="CP1207" s="50"/>
      <c r="CQ1207" s="50"/>
      <c r="CR1207" s="50"/>
      <c r="CS1207" s="50"/>
    </row>
    <row r="1208" spans="1:97" ht="15" thickBot="1">
      <c r="A1208" s="49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111"/>
      <c r="O1208" s="111"/>
      <c r="P1208" s="111"/>
      <c r="Q1208" s="111"/>
      <c r="R1208" s="111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1"/>
      <c r="AF1208" s="111"/>
      <c r="AG1208" s="111"/>
      <c r="AH1208" s="111"/>
      <c r="AI1208" s="111"/>
      <c r="AJ1208" s="111"/>
      <c r="AK1208" s="111"/>
      <c r="AL1208" s="111"/>
      <c r="AM1208" s="111"/>
      <c r="AN1208" s="111"/>
      <c r="AO1208" s="111"/>
      <c r="AP1208" s="111"/>
      <c r="AQ1208" s="111"/>
      <c r="AR1208" s="111"/>
      <c r="AS1208" s="111"/>
      <c r="AT1208" s="111"/>
      <c r="AU1208" s="111"/>
      <c r="AV1208" s="50"/>
      <c r="AW1208" s="50"/>
      <c r="AX1208" s="50"/>
      <c r="AY1208" s="50"/>
      <c r="AZ1208" s="50"/>
      <c r="BA1208" s="50"/>
      <c r="BB1208" s="50"/>
      <c r="BC1208" s="50"/>
      <c r="BD1208" s="50"/>
      <c r="BE1208" s="50"/>
      <c r="BF1208" s="50"/>
      <c r="BG1208" s="50"/>
      <c r="BH1208" s="50"/>
      <c r="BI1208" s="50"/>
      <c r="BJ1208" s="50"/>
      <c r="BK1208" s="50"/>
      <c r="BL1208" s="50"/>
      <c r="BM1208" s="50"/>
      <c r="BN1208" s="50"/>
      <c r="BO1208" s="50"/>
      <c r="BP1208" s="50"/>
      <c r="BQ1208" s="50"/>
      <c r="BR1208" s="50"/>
      <c r="BS1208" s="111"/>
      <c r="BT1208" s="50"/>
      <c r="BU1208" s="50"/>
      <c r="BV1208" s="50"/>
      <c r="BW1208" s="50"/>
      <c r="BX1208" s="50"/>
      <c r="BY1208" s="50"/>
      <c r="BZ1208" s="50"/>
      <c r="CA1208" s="50"/>
      <c r="CB1208" s="50"/>
      <c r="CC1208" s="50"/>
      <c r="CD1208" s="50"/>
      <c r="CE1208" s="50"/>
      <c r="CF1208" s="50"/>
      <c r="CG1208" s="50"/>
      <c r="CH1208" s="50"/>
      <c r="CI1208" s="50"/>
      <c r="CJ1208" s="50"/>
      <c r="CK1208" s="50"/>
      <c r="CL1208" s="50"/>
      <c r="CM1208" s="50"/>
      <c r="CN1208" s="50"/>
      <c r="CO1208" s="50"/>
      <c r="CP1208" s="50"/>
      <c r="CQ1208" s="50"/>
      <c r="CR1208" s="50"/>
      <c r="CS1208" s="50"/>
    </row>
    <row r="1209" spans="1:97" ht="15" thickBot="1">
      <c r="A1209" s="49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111"/>
      <c r="O1209" s="111"/>
      <c r="P1209" s="111"/>
      <c r="Q1209" s="111"/>
      <c r="R1209" s="111"/>
      <c r="S1209" s="111"/>
      <c r="T1209" s="111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1"/>
      <c r="AF1209" s="111"/>
      <c r="AG1209" s="111"/>
      <c r="AH1209" s="111"/>
      <c r="AI1209" s="111"/>
      <c r="AJ1209" s="111"/>
      <c r="AK1209" s="111"/>
      <c r="AL1209" s="111"/>
      <c r="AM1209" s="111"/>
      <c r="AN1209" s="111"/>
      <c r="AO1209" s="111"/>
      <c r="AP1209" s="111"/>
      <c r="AQ1209" s="111"/>
      <c r="AR1209" s="111"/>
      <c r="AS1209" s="111"/>
      <c r="AT1209" s="111"/>
      <c r="AU1209" s="111"/>
      <c r="AV1209" s="50"/>
      <c r="AW1209" s="50"/>
      <c r="AX1209" s="50"/>
      <c r="AY1209" s="50"/>
      <c r="AZ1209" s="50"/>
      <c r="BA1209" s="50"/>
      <c r="BB1209" s="50"/>
      <c r="BC1209" s="50"/>
      <c r="BD1209" s="50"/>
      <c r="BE1209" s="50"/>
      <c r="BF1209" s="50"/>
      <c r="BG1209" s="50"/>
      <c r="BH1209" s="50"/>
      <c r="BI1209" s="50"/>
      <c r="BJ1209" s="50"/>
      <c r="BK1209" s="50"/>
      <c r="BL1209" s="50"/>
      <c r="BM1209" s="50"/>
      <c r="BN1209" s="50"/>
      <c r="BO1209" s="50"/>
      <c r="BP1209" s="50"/>
      <c r="BQ1209" s="50"/>
      <c r="BR1209" s="50"/>
      <c r="BS1209" s="111"/>
      <c r="BT1209" s="50"/>
      <c r="BU1209" s="50"/>
      <c r="BV1209" s="50"/>
      <c r="BW1209" s="50"/>
      <c r="BX1209" s="50"/>
      <c r="BY1209" s="50"/>
      <c r="BZ1209" s="50"/>
      <c r="CA1209" s="50"/>
      <c r="CB1209" s="50"/>
      <c r="CC1209" s="50"/>
      <c r="CD1209" s="50"/>
      <c r="CE1209" s="50"/>
      <c r="CF1209" s="50"/>
      <c r="CG1209" s="50"/>
      <c r="CH1209" s="50"/>
      <c r="CI1209" s="50"/>
      <c r="CJ1209" s="50"/>
      <c r="CK1209" s="50"/>
      <c r="CL1209" s="50"/>
      <c r="CM1209" s="50"/>
      <c r="CN1209" s="50"/>
      <c r="CO1209" s="50"/>
      <c r="CP1209" s="50"/>
      <c r="CQ1209" s="50"/>
      <c r="CR1209" s="50"/>
      <c r="CS1209" s="50"/>
    </row>
    <row r="1210" spans="1:97" ht="15" thickBot="1">
      <c r="A1210" s="49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111"/>
      <c r="O1210" s="111"/>
      <c r="P1210" s="111"/>
      <c r="Q1210" s="111"/>
      <c r="R1210" s="111"/>
      <c r="S1210" s="111"/>
      <c r="T1210" s="111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1"/>
      <c r="AF1210" s="111"/>
      <c r="AG1210" s="111"/>
      <c r="AH1210" s="111"/>
      <c r="AI1210" s="111"/>
      <c r="AJ1210" s="111"/>
      <c r="AK1210" s="111"/>
      <c r="AL1210" s="111"/>
      <c r="AM1210" s="111"/>
      <c r="AN1210" s="111"/>
      <c r="AO1210" s="111"/>
      <c r="AP1210" s="111"/>
      <c r="AQ1210" s="111"/>
      <c r="AR1210" s="111"/>
      <c r="AS1210" s="111"/>
      <c r="AT1210" s="111"/>
      <c r="AU1210" s="111"/>
      <c r="AV1210" s="50"/>
      <c r="AW1210" s="50"/>
      <c r="AX1210" s="50"/>
      <c r="AY1210" s="50"/>
      <c r="AZ1210" s="50"/>
      <c r="BA1210" s="50"/>
      <c r="BB1210" s="50"/>
      <c r="BC1210" s="50"/>
      <c r="BD1210" s="50"/>
      <c r="BE1210" s="50"/>
      <c r="BF1210" s="50"/>
      <c r="BG1210" s="50"/>
      <c r="BH1210" s="50"/>
      <c r="BI1210" s="50"/>
      <c r="BJ1210" s="50"/>
      <c r="BK1210" s="50"/>
      <c r="BL1210" s="50"/>
      <c r="BM1210" s="50"/>
      <c r="BN1210" s="50"/>
      <c r="BO1210" s="50"/>
      <c r="BP1210" s="50"/>
      <c r="BQ1210" s="50"/>
      <c r="BR1210" s="50"/>
      <c r="BS1210" s="111"/>
      <c r="BT1210" s="50"/>
      <c r="BU1210" s="50"/>
      <c r="BV1210" s="50"/>
      <c r="BW1210" s="50"/>
      <c r="BX1210" s="50"/>
      <c r="BY1210" s="50"/>
      <c r="BZ1210" s="50"/>
      <c r="CA1210" s="50"/>
      <c r="CB1210" s="50"/>
      <c r="CC1210" s="50"/>
      <c r="CD1210" s="50"/>
      <c r="CE1210" s="50"/>
      <c r="CF1210" s="50"/>
      <c r="CG1210" s="50"/>
      <c r="CH1210" s="50"/>
      <c r="CI1210" s="50"/>
      <c r="CJ1210" s="50"/>
      <c r="CK1210" s="50"/>
      <c r="CL1210" s="50"/>
      <c r="CM1210" s="50"/>
      <c r="CN1210" s="50"/>
      <c r="CO1210" s="50"/>
      <c r="CP1210" s="50"/>
      <c r="CQ1210" s="50"/>
      <c r="CR1210" s="50"/>
      <c r="CS1210" s="50"/>
    </row>
    <row r="1211" spans="1:97" ht="15" thickBot="1">
      <c r="A1211" s="49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111"/>
      <c r="O1211" s="111"/>
      <c r="P1211" s="111"/>
      <c r="Q1211" s="111"/>
      <c r="R1211" s="111"/>
      <c r="S1211" s="111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1"/>
      <c r="AF1211" s="111"/>
      <c r="AG1211" s="111"/>
      <c r="AH1211" s="111"/>
      <c r="AI1211" s="111"/>
      <c r="AJ1211" s="111"/>
      <c r="AK1211" s="111"/>
      <c r="AL1211" s="111"/>
      <c r="AM1211" s="111"/>
      <c r="AN1211" s="111"/>
      <c r="AO1211" s="111"/>
      <c r="AP1211" s="111"/>
      <c r="AQ1211" s="111"/>
      <c r="AR1211" s="111"/>
      <c r="AS1211" s="111"/>
      <c r="AT1211" s="111"/>
      <c r="AU1211" s="111"/>
      <c r="AV1211" s="50"/>
      <c r="AW1211" s="50"/>
      <c r="AX1211" s="50"/>
      <c r="AY1211" s="50"/>
      <c r="AZ1211" s="50"/>
      <c r="BA1211" s="50"/>
      <c r="BB1211" s="50"/>
      <c r="BC1211" s="50"/>
      <c r="BD1211" s="50"/>
      <c r="BE1211" s="50"/>
      <c r="BF1211" s="50"/>
      <c r="BG1211" s="50"/>
      <c r="BH1211" s="50"/>
      <c r="BI1211" s="50"/>
      <c r="BJ1211" s="50"/>
      <c r="BK1211" s="50"/>
      <c r="BL1211" s="50"/>
      <c r="BM1211" s="50"/>
      <c r="BN1211" s="50"/>
      <c r="BO1211" s="50"/>
      <c r="BP1211" s="50"/>
      <c r="BQ1211" s="50"/>
      <c r="BR1211" s="50"/>
      <c r="BS1211" s="111"/>
      <c r="BT1211" s="50"/>
      <c r="BU1211" s="50"/>
      <c r="BV1211" s="50"/>
      <c r="BW1211" s="50"/>
      <c r="BX1211" s="50"/>
      <c r="BY1211" s="50"/>
      <c r="BZ1211" s="50"/>
      <c r="CA1211" s="50"/>
      <c r="CB1211" s="50"/>
      <c r="CC1211" s="50"/>
      <c r="CD1211" s="50"/>
      <c r="CE1211" s="50"/>
      <c r="CF1211" s="50"/>
      <c r="CG1211" s="50"/>
      <c r="CH1211" s="50"/>
      <c r="CI1211" s="50"/>
      <c r="CJ1211" s="50"/>
      <c r="CK1211" s="50"/>
      <c r="CL1211" s="50"/>
      <c r="CM1211" s="50"/>
      <c r="CN1211" s="50"/>
      <c r="CO1211" s="50"/>
      <c r="CP1211" s="50"/>
      <c r="CQ1211" s="50"/>
      <c r="CR1211" s="50"/>
      <c r="CS1211" s="50"/>
    </row>
    <row r="1212" spans="1:97" ht="15" thickBot="1">
      <c r="A1212" s="49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111"/>
      <c r="O1212" s="111"/>
      <c r="P1212" s="111"/>
      <c r="Q1212" s="111"/>
      <c r="R1212" s="111"/>
      <c r="S1212" s="111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1"/>
      <c r="AF1212" s="111"/>
      <c r="AG1212" s="111"/>
      <c r="AH1212" s="111"/>
      <c r="AI1212" s="111"/>
      <c r="AJ1212" s="111"/>
      <c r="AK1212" s="111"/>
      <c r="AL1212" s="111"/>
      <c r="AM1212" s="111"/>
      <c r="AN1212" s="111"/>
      <c r="AO1212" s="111"/>
      <c r="AP1212" s="111"/>
      <c r="AQ1212" s="111"/>
      <c r="AR1212" s="111"/>
      <c r="AS1212" s="111"/>
      <c r="AT1212" s="111"/>
      <c r="AU1212" s="111"/>
      <c r="AV1212" s="50"/>
      <c r="AW1212" s="50"/>
      <c r="AX1212" s="50"/>
      <c r="AY1212" s="50"/>
      <c r="AZ1212" s="50"/>
      <c r="BA1212" s="50"/>
      <c r="BB1212" s="50"/>
      <c r="BC1212" s="50"/>
      <c r="BD1212" s="50"/>
      <c r="BE1212" s="50"/>
      <c r="BF1212" s="50"/>
      <c r="BG1212" s="50"/>
      <c r="BH1212" s="50"/>
      <c r="BI1212" s="50"/>
      <c r="BJ1212" s="50"/>
      <c r="BK1212" s="50"/>
      <c r="BL1212" s="50"/>
      <c r="BM1212" s="50"/>
      <c r="BN1212" s="50"/>
      <c r="BO1212" s="50"/>
      <c r="BP1212" s="50"/>
      <c r="BQ1212" s="50"/>
      <c r="BR1212" s="50"/>
      <c r="BS1212" s="111"/>
      <c r="BT1212" s="50"/>
      <c r="BU1212" s="50"/>
      <c r="BV1212" s="50"/>
      <c r="BW1212" s="50"/>
      <c r="BX1212" s="50"/>
      <c r="BY1212" s="50"/>
      <c r="BZ1212" s="50"/>
      <c r="CA1212" s="50"/>
      <c r="CB1212" s="50"/>
      <c r="CC1212" s="50"/>
      <c r="CD1212" s="50"/>
      <c r="CE1212" s="50"/>
      <c r="CF1212" s="50"/>
      <c r="CG1212" s="50"/>
      <c r="CH1212" s="50"/>
      <c r="CI1212" s="50"/>
      <c r="CJ1212" s="50"/>
      <c r="CK1212" s="50"/>
      <c r="CL1212" s="50"/>
      <c r="CM1212" s="50"/>
      <c r="CN1212" s="50"/>
      <c r="CO1212" s="50"/>
      <c r="CP1212" s="50"/>
      <c r="CQ1212" s="50"/>
      <c r="CR1212" s="50"/>
      <c r="CS1212" s="50"/>
    </row>
    <row r="1213" spans="1:97" ht="15" thickBot="1">
      <c r="A1213" s="49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1"/>
      <c r="AF1213" s="111"/>
      <c r="AG1213" s="111"/>
      <c r="AH1213" s="111"/>
      <c r="AI1213" s="111"/>
      <c r="AJ1213" s="111"/>
      <c r="AK1213" s="111"/>
      <c r="AL1213" s="111"/>
      <c r="AM1213" s="111"/>
      <c r="AN1213" s="111"/>
      <c r="AO1213" s="111"/>
      <c r="AP1213" s="111"/>
      <c r="AQ1213" s="111"/>
      <c r="AR1213" s="111"/>
      <c r="AS1213" s="111"/>
      <c r="AT1213" s="111"/>
      <c r="AU1213" s="111"/>
      <c r="AV1213" s="50"/>
      <c r="AW1213" s="50"/>
      <c r="AX1213" s="50"/>
      <c r="AY1213" s="50"/>
      <c r="AZ1213" s="50"/>
      <c r="BA1213" s="50"/>
      <c r="BB1213" s="50"/>
      <c r="BC1213" s="50"/>
      <c r="BD1213" s="50"/>
      <c r="BE1213" s="50"/>
      <c r="BF1213" s="50"/>
      <c r="BG1213" s="50"/>
      <c r="BH1213" s="50"/>
      <c r="BI1213" s="50"/>
      <c r="BJ1213" s="50"/>
      <c r="BK1213" s="50"/>
      <c r="BL1213" s="50"/>
      <c r="BM1213" s="50"/>
      <c r="BN1213" s="50"/>
      <c r="BO1213" s="50"/>
      <c r="BP1213" s="50"/>
      <c r="BQ1213" s="50"/>
      <c r="BR1213" s="50"/>
      <c r="BS1213" s="111"/>
      <c r="BT1213" s="50"/>
      <c r="BU1213" s="50"/>
      <c r="BV1213" s="50"/>
      <c r="BW1213" s="50"/>
      <c r="BX1213" s="50"/>
      <c r="BY1213" s="50"/>
      <c r="BZ1213" s="50"/>
      <c r="CA1213" s="50"/>
      <c r="CB1213" s="50"/>
      <c r="CC1213" s="50"/>
      <c r="CD1213" s="50"/>
      <c r="CE1213" s="50"/>
      <c r="CF1213" s="50"/>
      <c r="CG1213" s="50"/>
      <c r="CH1213" s="50"/>
      <c r="CI1213" s="50"/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</row>
    <row r="1214" spans="1:97" ht="15" thickBot="1">
      <c r="A1214" s="49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111"/>
      <c r="O1214" s="111"/>
      <c r="P1214" s="111"/>
      <c r="Q1214" s="111"/>
      <c r="R1214" s="111"/>
      <c r="S1214" s="111"/>
      <c r="T1214" s="111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1"/>
      <c r="AF1214" s="111"/>
      <c r="AG1214" s="111"/>
      <c r="AH1214" s="111"/>
      <c r="AI1214" s="111"/>
      <c r="AJ1214" s="111"/>
      <c r="AK1214" s="111"/>
      <c r="AL1214" s="111"/>
      <c r="AM1214" s="111"/>
      <c r="AN1214" s="111"/>
      <c r="AO1214" s="111"/>
      <c r="AP1214" s="111"/>
      <c r="AQ1214" s="111"/>
      <c r="AR1214" s="111"/>
      <c r="AS1214" s="111"/>
      <c r="AT1214" s="111"/>
      <c r="AU1214" s="111"/>
      <c r="AV1214" s="50"/>
      <c r="AW1214" s="50"/>
      <c r="AX1214" s="50"/>
      <c r="AY1214" s="50"/>
      <c r="AZ1214" s="50"/>
      <c r="BA1214" s="50"/>
      <c r="BB1214" s="50"/>
      <c r="BC1214" s="50"/>
      <c r="BD1214" s="50"/>
      <c r="BE1214" s="50"/>
      <c r="BF1214" s="50"/>
      <c r="BG1214" s="50"/>
      <c r="BH1214" s="50"/>
      <c r="BI1214" s="50"/>
      <c r="BJ1214" s="50"/>
      <c r="BK1214" s="50"/>
      <c r="BL1214" s="50"/>
      <c r="BM1214" s="50"/>
      <c r="BN1214" s="50"/>
      <c r="BO1214" s="50"/>
      <c r="BP1214" s="50"/>
      <c r="BQ1214" s="50"/>
      <c r="BR1214" s="50"/>
      <c r="BS1214" s="111"/>
      <c r="BT1214" s="50"/>
      <c r="BU1214" s="50"/>
      <c r="BV1214" s="50"/>
      <c r="BW1214" s="50"/>
      <c r="BX1214" s="50"/>
      <c r="BY1214" s="50"/>
      <c r="BZ1214" s="50"/>
      <c r="CA1214" s="50"/>
      <c r="CB1214" s="50"/>
      <c r="CC1214" s="50"/>
      <c r="CD1214" s="50"/>
      <c r="CE1214" s="50"/>
      <c r="CF1214" s="50"/>
      <c r="CG1214" s="50"/>
      <c r="CH1214" s="50"/>
      <c r="CI1214" s="50"/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</row>
    <row r="1215" spans="1:97" ht="15" thickBot="1">
      <c r="A1215" s="49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111"/>
      <c r="O1215" s="111"/>
      <c r="P1215" s="111"/>
      <c r="Q1215" s="111"/>
      <c r="R1215" s="111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1"/>
      <c r="AF1215" s="111"/>
      <c r="AG1215" s="111"/>
      <c r="AH1215" s="111"/>
      <c r="AI1215" s="111"/>
      <c r="AJ1215" s="111"/>
      <c r="AK1215" s="111"/>
      <c r="AL1215" s="111"/>
      <c r="AM1215" s="111"/>
      <c r="AN1215" s="111"/>
      <c r="AO1215" s="111"/>
      <c r="AP1215" s="111"/>
      <c r="AQ1215" s="111"/>
      <c r="AR1215" s="111"/>
      <c r="AS1215" s="111"/>
      <c r="AT1215" s="111"/>
      <c r="AU1215" s="111"/>
      <c r="AV1215" s="50"/>
      <c r="AW1215" s="50"/>
      <c r="AX1215" s="50"/>
      <c r="AY1215" s="50"/>
      <c r="AZ1215" s="50"/>
      <c r="BA1215" s="50"/>
      <c r="BB1215" s="50"/>
      <c r="BC1215" s="50"/>
      <c r="BD1215" s="50"/>
      <c r="BE1215" s="50"/>
      <c r="BF1215" s="50"/>
      <c r="BG1215" s="50"/>
      <c r="BH1215" s="50"/>
      <c r="BI1215" s="50"/>
      <c r="BJ1215" s="50"/>
      <c r="BK1215" s="50"/>
      <c r="BL1215" s="50"/>
      <c r="BM1215" s="50"/>
      <c r="BN1215" s="50"/>
      <c r="BO1215" s="50"/>
      <c r="BP1215" s="50"/>
      <c r="BQ1215" s="50"/>
      <c r="BR1215" s="50"/>
      <c r="BS1215" s="111"/>
      <c r="BT1215" s="50"/>
      <c r="BU1215" s="50"/>
      <c r="BV1215" s="50"/>
      <c r="BW1215" s="50"/>
      <c r="BX1215" s="50"/>
      <c r="BY1215" s="50"/>
      <c r="BZ1215" s="50"/>
      <c r="CA1215" s="50"/>
      <c r="CB1215" s="50"/>
      <c r="CC1215" s="50"/>
      <c r="CD1215" s="50"/>
      <c r="CE1215" s="50"/>
      <c r="CF1215" s="50"/>
      <c r="CG1215" s="50"/>
      <c r="CH1215" s="50"/>
      <c r="CI1215" s="50"/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</row>
    <row r="1216" spans="1:97" ht="15" thickBot="1">
      <c r="A1216" s="49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111"/>
      <c r="O1216" s="111"/>
      <c r="P1216" s="111"/>
      <c r="Q1216" s="111"/>
      <c r="R1216" s="111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1"/>
      <c r="AF1216" s="111"/>
      <c r="AG1216" s="111"/>
      <c r="AH1216" s="111"/>
      <c r="AI1216" s="111"/>
      <c r="AJ1216" s="111"/>
      <c r="AK1216" s="111"/>
      <c r="AL1216" s="111"/>
      <c r="AM1216" s="111"/>
      <c r="AN1216" s="111"/>
      <c r="AO1216" s="111"/>
      <c r="AP1216" s="111"/>
      <c r="AQ1216" s="111"/>
      <c r="AR1216" s="111"/>
      <c r="AS1216" s="111"/>
      <c r="AT1216" s="111"/>
      <c r="AU1216" s="111"/>
      <c r="AV1216" s="50"/>
      <c r="AW1216" s="50"/>
      <c r="AX1216" s="50"/>
      <c r="AY1216" s="50"/>
      <c r="AZ1216" s="50"/>
      <c r="BA1216" s="50"/>
      <c r="BB1216" s="50"/>
      <c r="BC1216" s="50"/>
      <c r="BD1216" s="50"/>
      <c r="BE1216" s="50"/>
      <c r="BF1216" s="50"/>
      <c r="BG1216" s="50"/>
      <c r="BH1216" s="50"/>
      <c r="BI1216" s="50"/>
      <c r="BJ1216" s="50"/>
      <c r="BK1216" s="50"/>
      <c r="BL1216" s="50"/>
      <c r="BM1216" s="50"/>
      <c r="BN1216" s="50"/>
      <c r="BO1216" s="50"/>
      <c r="BP1216" s="50"/>
      <c r="BQ1216" s="50"/>
      <c r="BR1216" s="50"/>
      <c r="BS1216" s="111"/>
      <c r="BT1216" s="50"/>
      <c r="BU1216" s="50"/>
      <c r="BV1216" s="50"/>
      <c r="BW1216" s="50"/>
      <c r="BX1216" s="50"/>
      <c r="BY1216" s="50"/>
      <c r="BZ1216" s="50"/>
      <c r="CA1216" s="50"/>
      <c r="CB1216" s="50"/>
      <c r="CC1216" s="50"/>
      <c r="CD1216" s="50"/>
      <c r="CE1216" s="50"/>
      <c r="CF1216" s="50"/>
      <c r="CG1216" s="50"/>
      <c r="CH1216" s="50"/>
      <c r="CI1216" s="50"/>
      <c r="CJ1216" s="50"/>
      <c r="CK1216" s="50"/>
      <c r="CL1216" s="50"/>
      <c r="CM1216" s="50"/>
      <c r="CN1216" s="50"/>
      <c r="CO1216" s="50"/>
      <c r="CP1216" s="50"/>
      <c r="CQ1216" s="50"/>
      <c r="CR1216" s="50"/>
      <c r="CS1216" s="50"/>
    </row>
    <row r="1217" spans="1:97" ht="15" thickBot="1">
      <c r="A1217" s="49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111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1"/>
      <c r="AF1217" s="111"/>
      <c r="AG1217" s="111"/>
      <c r="AH1217" s="111"/>
      <c r="AI1217" s="111"/>
      <c r="AJ1217" s="111"/>
      <c r="AK1217" s="111"/>
      <c r="AL1217" s="111"/>
      <c r="AM1217" s="111"/>
      <c r="AN1217" s="111"/>
      <c r="AO1217" s="111"/>
      <c r="AP1217" s="111"/>
      <c r="AQ1217" s="111"/>
      <c r="AR1217" s="111"/>
      <c r="AS1217" s="111"/>
      <c r="AT1217" s="111"/>
      <c r="AU1217" s="111"/>
      <c r="AV1217" s="50"/>
      <c r="AW1217" s="50"/>
      <c r="AX1217" s="50"/>
      <c r="AY1217" s="50"/>
      <c r="AZ1217" s="50"/>
      <c r="BA1217" s="50"/>
      <c r="BB1217" s="50"/>
      <c r="BC1217" s="50"/>
      <c r="BD1217" s="50"/>
      <c r="BE1217" s="50"/>
      <c r="BF1217" s="50"/>
      <c r="BG1217" s="50"/>
      <c r="BH1217" s="50"/>
      <c r="BI1217" s="50"/>
      <c r="BJ1217" s="50"/>
      <c r="BK1217" s="50"/>
      <c r="BL1217" s="50"/>
      <c r="BM1217" s="50"/>
      <c r="BN1217" s="50"/>
      <c r="BO1217" s="50"/>
      <c r="BP1217" s="50"/>
      <c r="BQ1217" s="50"/>
      <c r="BR1217" s="50"/>
      <c r="BS1217" s="111"/>
      <c r="BT1217" s="50"/>
      <c r="BU1217" s="50"/>
      <c r="BV1217" s="50"/>
      <c r="BW1217" s="50"/>
      <c r="BX1217" s="50"/>
      <c r="BY1217" s="50"/>
      <c r="BZ1217" s="50"/>
      <c r="CA1217" s="50"/>
      <c r="CB1217" s="50"/>
      <c r="CC1217" s="50"/>
      <c r="CD1217" s="50"/>
      <c r="CE1217" s="50"/>
      <c r="CF1217" s="50"/>
      <c r="CG1217" s="50"/>
      <c r="CH1217" s="50"/>
      <c r="CI1217" s="50"/>
      <c r="CJ1217" s="50"/>
      <c r="CK1217" s="50"/>
      <c r="CL1217" s="50"/>
      <c r="CM1217" s="50"/>
      <c r="CN1217" s="50"/>
      <c r="CO1217" s="50"/>
      <c r="CP1217" s="50"/>
      <c r="CQ1217" s="50"/>
      <c r="CR1217" s="50"/>
      <c r="CS1217" s="50"/>
    </row>
    <row r="1218" spans="1:97" ht="15" thickBot="1">
      <c r="A1218" s="49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111"/>
      <c r="O1218" s="111"/>
      <c r="P1218" s="111"/>
      <c r="Q1218" s="111"/>
      <c r="R1218" s="111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1"/>
      <c r="AF1218" s="111"/>
      <c r="AG1218" s="111"/>
      <c r="AH1218" s="111"/>
      <c r="AI1218" s="111"/>
      <c r="AJ1218" s="111"/>
      <c r="AK1218" s="111"/>
      <c r="AL1218" s="111"/>
      <c r="AM1218" s="111"/>
      <c r="AN1218" s="111"/>
      <c r="AO1218" s="111"/>
      <c r="AP1218" s="111"/>
      <c r="AQ1218" s="111"/>
      <c r="AR1218" s="111"/>
      <c r="AS1218" s="111"/>
      <c r="AT1218" s="111"/>
      <c r="AU1218" s="111"/>
      <c r="AV1218" s="50"/>
      <c r="AW1218" s="50"/>
      <c r="AX1218" s="50"/>
      <c r="AY1218" s="50"/>
      <c r="AZ1218" s="50"/>
      <c r="BA1218" s="50"/>
      <c r="BB1218" s="50"/>
      <c r="BC1218" s="50"/>
      <c r="BD1218" s="50"/>
      <c r="BE1218" s="50"/>
      <c r="BF1218" s="50"/>
      <c r="BG1218" s="50"/>
      <c r="BH1218" s="50"/>
      <c r="BI1218" s="50"/>
      <c r="BJ1218" s="50"/>
      <c r="BK1218" s="50"/>
      <c r="BL1218" s="50"/>
      <c r="BM1218" s="50"/>
      <c r="BN1218" s="50"/>
      <c r="BO1218" s="50"/>
      <c r="BP1218" s="50"/>
      <c r="BQ1218" s="50"/>
      <c r="BR1218" s="50"/>
      <c r="BS1218" s="111"/>
      <c r="BT1218" s="50"/>
      <c r="BU1218" s="50"/>
      <c r="BV1218" s="50"/>
      <c r="BW1218" s="50"/>
      <c r="BX1218" s="50"/>
      <c r="BY1218" s="50"/>
      <c r="BZ1218" s="50"/>
      <c r="CA1218" s="50"/>
      <c r="CB1218" s="50"/>
      <c r="CC1218" s="50"/>
      <c r="CD1218" s="50"/>
      <c r="CE1218" s="50"/>
      <c r="CF1218" s="50"/>
      <c r="CG1218" s="50"/>
      <c r="CH1218" s="50"/>
      <c r="CI1218" s="50"/>
      <c r="CJ1218" s="50"/>
      <c r="CK1218" s="50"/>
      <c r="CL1218" s="50"/>
      <c r="CM1218" s="50"/>
      <c r="CN1218" s="50"/>
      <c r="CO1218" s="50"/>
      <c r="CP1218" s="50"/>
      <c r="CQ1218" s="50"/>
      <c r="CR1218" s="50"/>
      <c r="CS1218" s="50"/>
    </row>
    <row r="1219" spans="1:97" ht="15" thickBot="1">
      <c r="A1219" s="49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111"/>
      <c r="O1219" s="111"/>
      <c r="P1219" s="111"/>
      <c r="Q1219" s="111"/>
      <c r="R1219" s="111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1"/>
      <c r="AF1219" s="111"/>
      <c r="AG1219" s="111"/>
      <c r="AH1219" s="111"/>
      <c r="AI1219" s="111"/>
      <c r="AJ1219" s="111"/>
      <c r="AK1219" s="111"/>
      <c r="AL1219" s="111"/>
      <c r="AM1219" s="111"/>
      <c r="AN1219" s="111"/>
      <c r="AO1219" s="111"/>
      <c r="AP1219" s="111"/>
      <c r="AQ1219" s="111"/>
      <c r="AR1219" s="111"/>
      <c r="AS1219" s="111"/>
      <c r="AT1219" s="111"/>
      <c r="AU1219" s="111"/>
      <c r="AV1219" s="50"/>
      <c r="AW1219" s="50"/>
      <c r="AX1219" s="50"/>
      <c r="AY1219" s="50"/>
      <c r="AZ1219" s="50"/>
      <c r="BA1219" s="50"/>
      <c r="BB1219" s="50"/>
      <c r="BC1219" s="50"/>
      <c r="BD1219" s="50"/>
      <c r="BE1219" s="50"/>
      <c r="BF1219" s="50"/>
      <c r="BG1219" s="50"/>
      <c r="BH1219" s="50"/>
      <c r="BI1219" s="50"/>
      <c r="BJ1219" s="50"/>
      <c r="BK1219" s="50"/>
      <c r="BL1219" s="50"/>
      <c r="BM1219" s="50"/>
      <c r="BN1219" s="50"/>
      <c r="BO1219" s="50"/>
      <c r="BP1219" s="50"/>
      <c r="BQ1219" s="50"/>
      <c r="BR1219" s="50"/>
      <c r="BS1219" s="111"/>
      <c r="BT1219" s="50"/>
      <c r="BU1219" s="50"/>
      <c r="BV1219" s="50"/>
      <c r="BW1219" s="50"/>
      <c r="BX1219" s="50"/>
      <c r="BY1219" s="50"/>
      <c r="BZ1219" s="50"/>
      <c r="CA1219" s="50"/>
      <c r="CB1219" s="50"/>
      <c r="CC1219" s="50"/>
      <c r="CD1219" s="50"/>
      <c r="CE1219" s="50"/>
      <c r="CF1219" s="50"/>
      <c r="CG1219" s="50"/>
      <c r="CH1219" s="50"/>
      <c r="CI1219" s="50"/>
      <c r="CJ1219" s="50"/>
      <c r="CK1219" s="50"/>
      <c r="CL1219" s="50"/>
      <c r="CM1219" s="50"/>
      <c r="CN1219" s="50"/>
      <c r="CO1219" s="50"/>
      <c r="CP1219" s="50"/>
      <c r="CQ1219" s="50"/>
      <c r="CR1219" s="50"/>
      <c r="CS1219" s="50"/>
    </row>
    <row r="1220" spans="1:97" ht="15" thickBot="1">
      <c r="A1220" s="49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111"/>
      <c r="O1220" s="111"/>
      <c r="P1220" s="111"/>
      <c r="Q1220" s="111"/>
      <c r="R1220" s="111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1"/>
      <c r="AF1220" s="111"/>
      <c r="AG1220" s="111"/>
      <c r="AH1220" s="111"/>
      <c r="AI1220" s="111"/>
      <c r="AJ1220" s="111"/>
      <c r="AK1220" s="111"/>
      <c r="AL1220" s="111"/>
      <c r="AM1220" s="111"/>
      <c r="AN1220" s="111"/>
      <c r="AO1220" s="111"/>
      <c r="AP1220" s="111"/>
      <c r="AQ1220" s="111"/>
      <c r="AR1220" s="111"/>
      <c r="AS1220" s="111"/>
      <c r="AT1220" s="111"/>
      <c r="AU1220" s="111"/>
      <c r="AV1220" s="50"/>
      <c r="AW1220" s="50"/>
      <c r="AX1220" s="50"/>
      <c r="AY1220" s="50"/>
      <c r="AZ1220" s="50"/>
      <c r="BA1220" s="50"/>
      <c r="BB1220" s="50"/>
      <c r="BC1220" s="50"/>
      <c r="BD1220" s="50"/>
      <c r="BE1220" s="50"/>
      <c r="BF1220" s="50"/>
      <c r="BG1220" s="50"/>
      <c r="BH1220" s="50"/>
      <c r="BI1220" s="50"/>
      <c r="BJ1220" s="50"/>
      <c r="BK1220" s="50"/>
      <c r="BL1220" s="50"/>
      <c r="BM1220" s="50"/>
      <c r="BN1220" s="50"/>
      <c r="BO1220" s="50"/>
      <c r="BP1220" s="50"/>
      <c r="BQ1220" s="50"/>
      <c r="BR1220" s="50"/>
      <c r="BS1220" s="111"/>
      <c r="BT1220" s="50"/>
      <c r="BU1220" s="50"/>
      <c r="BV1220" s="50"/>
      <c r="BW1220" s="50"/>
      <c r="BX1220" s="50"/>
      <c r="BY1220" s="50"/>
      <c r="BZ1220" s="50"/>
      <c r="CA1220" s="50"/>
      <c r="CB1220" s="50"/>
      <c r="CC1220" s="50"/>
      <c r="CD1220" s="50"/>
      <c r="CE1220" s="50"/>
      <c r="CF1220" s="50"/>
      <c r="CG1220" s="50"/>
      <c r="CH1220" s="50"/>
      <c r="CI1220" s="50"/>
      <c r="CJ1220" s="50"/>
      <c r="CK1220" s="50"/>
      <c r="CL1220" s="50"/>
      <c r="CM1220" s="50"/>
      <c r="CN1220" s="50"/>
      <c r="CO1220" s="50"/>
      <c r="CP1220" s="50"/>
      <c r="CQ1220" s="50"/>
      <c r="CR1220" s="50"/>
      <c r="CS1220" s="50"/>
    </row>
    <row r="1221" spans="1:97" ht="15" thickBot="1">
      <c r="A1221" s="49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111"/>
      <c r="O1221" s="111"/>
      <c r="P1221" s="111"/>
      <c r="Q1221" s="111"/>
      <c r="R1221" s="111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1"/>
      <c r="AF1221" s="111"/>
      <c r="AG1221" s="111"/>
      <c r="AH1221" s="111"/>
      <c r="AI1221" s="111"/>
      <c r="AJ1221" s="111"/>
      <c r="AK1221" s="111"/>
      <c r="AL1221" s="111"/>
      <c r="AM1221" s="111"/>
      <c r="AN1221" s="111"/>
      <c r="AO1221" s="111"/>
      <c r="AP1221" s="111"/>
      <c r="AQ1221" s="111"/>
      <c r="AR1221" s="111"/>
      <c r="AS1221" s="111"/>
      <c r="AT1221" s="111"/>
      <c r="AU1221" s="111"/>
      <c r="AV1221" s="50"/>
      <c r="AW1221" s="50"/>
      <c r="AX1221" s="50"/>
      <c r="AY1221" s="50"/>
      <c r="AZ1221" s="50"/>
      <c r="BA1221" s="50"/>
      <c r="BB1221" s="50"/>
      <c r="BC1221" s="50"/>
      <c r="BD1221" s="50"/>
      <c r="BE1221" s="50"/>
      <c r="BF1221" s="50"/>
      <c r="BG1221" s="50"/>
      <c r="BH1221" s="50"/>
      <c r="BI1221" s="50"/>
      <c r="BJ1221" s="50"/>
      <c r="BK1221" s="50"/>
      <c r="BL1221" s="50"/>
      <c r="BM1221" s="50"/>
      <c r="BN1221" s="50"/>
      <c r="BO1221" s="50"/>
      <c r="BP1221" s="50"/>
      <c r="BQ1221" s="50"/>
      <c r="BR1221" s="50"/>
      <c r="BS1221" s="111"/>
      <c r="BT1221" s="50"/>
      <c r="BU1221" s="50"/>
      <c r="BV1221" s="50"/>
      <c r="BW1221" s="50"/>
      <c r="BX1221" s="50"/>
      <c r="BY1221" s="50"/>
      <c r="BZ1221" s="50"/>
      <c r="CA1221" s="50"/>
      <c r="CB1221" s="50"/>
      <c r="CC1221" s="50"/>
      <c r="CD1221" s="50"/>
      <c r="CE1221" s="50"/>
      <c r="CF1221" s="50"/>
      <c r="CG1221" s="50"/>
      <c r="CH1221" s="50"/>
      <c r="CI1221" s="50"/>
      <c r="CJ1221" s="50"/>
      <c r="CK1221" s="50"/>
      <c r="CL1221" s="50"/>
      <c r="CM1221" s="50"/>
      <c r="CN1221" s="50"/>
      <c r="CO1221" s="50"/>
      <c r="CP1221" s="50"/>
      <c r="CQ1221" s="50"/>
      <c r="CR1221" s="50"/>
      <c r="CS1221" s="50"/>
    </row>
    <row r="1222" spans="1:97" ht="15" thickBot="1">
      <c r="A1222" s="49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1"/>
      <c r="AF1222" s="111"/>
      <c r="AG1222" s="111"/>
      <c r="AH1222" s="111"/>
      <c r="AI1222" s="111"/>
      <c r="AJ1222" s="111"/>
      <c r="AK1222" s="111"/>
      <c r="AL1222" s="111"/>
      <c r="AM1222" s="111"/>
      <c r="AN1222" s="111"/>
      <c r="AO1222" s="111"/>
      <c r="AP1222" s="111"/>
      <c r="AQ1222" s="111"/>
      <c r="AR1222" s="111"/>
      <c r="AS1222" s="111"/>
      <c r="AT1222" s="111"/>
      <c r="AU1222" s="111"/>
      <c r="AV1222" s="50"/>
      <c r="AW1222" s="50"/>
      <c r="AX1222" s="50"/>
      <c r="AY1222" s="50"/>
      <c r="AZ1222" s="50"/>
      <c r="BA1222" s="50"/>
      <c r="BB1222" s="50"/>
      <c r="BC1222" s="50"/>
      <c r="BD1222" s="50"/>
      <c r="BE1222" s="50"/>
      <c r="BF1222" s="50"/>
      <c r="BG1222" s="50"/>
      <c r="BH1222" s="50"/>
      <c r="BI1222" s="50"/>
      <c r="BJ1222" s="50"/>
      <c r="BK1222" s="50"/>
      <c r="BL1222" s="50"/>
      <c r="BM1222" s="50"/>
      <c r="BN1222" s="50"/>
      <c r="BO1222" s="50"/>
      <c r="BP1222" s="50"/>
      <c r="BQ1222" s="50"/>
      <c r="BR1222" s="50"/>
      <c r="BS1222" s="111"/>
      <c r="BT1222" s="50"/>
      <c r="BU1222" s="50"/>
      <c r="BV1222" s="50"/>
      <c r="BW1222" s="50"/>
      <c r="BX1222" s="50"/>
      <c r="BY1222" s="50"/>
      <c r="BZ1222" s="50"/>
      <c r="CA1222" s="50"/>
      <c r="CB1222" s="50"/>
      <c r="CC1222" s="50"/>
      <c r="CD1222" s="50"/>
      <c r="CE1222" s="50"/>
      <c r="CF1222" s="50"/>
      <c r="CG1222" s="50"/>
      <c r="CH1222" s="50"/>
      <c r="CI1222" s="50"/>
      <c r="CJ1222" s="50"/>
      <c r="CK1222" s="50"/>
      <c r="CL1222" s="50"/>
      <c r="CM1222" s="50"/>
      <c r="CN1222" s="50"/>
      <c r="CO1222" s="50"/>
      <c r="CP1222" s="50"/>
      <c r="CQ1222" s="50"/>
      <c r="CR1222" s="50"/>
      <c r="CS1222" s="50"/>
    </row>
    <row r="1223" spans="1:97" ht="15" thickBot="1">
      <c r="A1223" s="49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111"/>
      <c r="O1223" s="111"/>
      <c r="P1223" s="111"/>
      <c r="Q1223" s="111"/>
      <c r="R1223" s="111"/>
      <c r="S1223" s="111"/>
      <c r="T1223" s="111"/>
      <c r="U1223" s="111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1"/>
      <c r="AF1223" s="111"/>
      <c r="AG1223" s="111"/>
      <c r="AH1223" s="111"/>
      <c r="AI1223" s="111"/>
      <c r="AJ1223" s="111"/>
      <c r="AK1223" s="111"/>
      <c r="AL1223" s="111"/>
      <c r="AM1223" s="111"/>
      <c r="AN1223" s="111"/>
      <c r="AO1223" s="111"/>
      <c r="AP1223" s="111"/>
      <c r="AQ1223" s="111"/>
      <c r="AR1223" s="111"/>
      <c r="AS1223" s="111"/>
      <c r="AT1223" s="111"/>
      <c r="AU1223" s="111"/>
      <c r="AV1223" s="50"/>
      <c r="AW1223" s="50"/>
      <c r="AX1223" s="50"/>
      <c r="AY1223" s="50"/>
      <c r="AZ1223" s="50"/>
      <c r="BA1223" s="50"/>
      <c r="BB1223" s="50"/>
      <c r="BC1223" s="50"/>
      <c r="BD1223" s="50"/>
      <c r="BE1223" s="50"/>
      <c r="BF1223" s="50"/>
      <c r="BG1223" s="50"/>
      <c r="BH1223" s="50"/>
      <c r="BI1223" s="50"/>
      <c r="BJ1223" s="50"/>
      <c r="BK1223" s="50"/>
      <c r="BL1223" s="50"/>
      <c r="BM1223" s="50"/>
      <c r="BN1223" s="50"/>
      <c r="BO1223" s="50"/>
      <c r="BP1223" s="50"/>
      <c r="BQ1223" s="50"/>
      <c r="BR1223" s="50"/>
      <c r="BS1223" s="111"/>
      <c r="BT1223" s="50"/>
      <c r="BU1223" s="50"/>
      <c r="BV1223" s="50"/>
      <c r="BW1223" s="50"/>
      <c r="BX1223" s="50"/>
      <c r="BY1223" s="50"/>
      <c r="BZ1223" s="50"/>
      <c r="CA1223" s="50"/>
      <c r="CB1223" s="50"/>
      <c r="CC1223" s="50"/>
      <c r="CD1223" s="50"/>
      <c r="CE1223" s="50"/>
      <c r="CF1223" s="50"/>
      <c r="CG1223" s="50"/>
      <c r="CH1223" s="50"/>
      <c r="CI1223" s="50"/>
      <c r="CJ1223" s="50"/>
      <c r="CK1223" s="50"/>
      <c r="CL1223" s="50"/>
      <c r="CM1223" s="50"/>
      <c r="CN1223" s="50"/>
      <c r="CO1223" s="50"/>
      <c r="CP1223" s="50"/>
      <c r="CQ1223" s="50"/>
      <c r="CR1223" s="50"/>
      <c r="CS1223" s="50"/>
    </row>
    <row r="1224" spans="1:97" ht="15" thickBot="1">
      <c r="A1224" s="49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111"/>
      <c r="O1224" s="111"/>
      <c r="P1224" s="111"/>
      <c r="Q1224" s="111"/>
      <c r="R1224" s="111"/>
      <c r="S1224" s="111"/>
      <c r="T1224" s="111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1"/>
      <c r="AF1224" s="111"/>
      <c r="AG1224" s="111"/>
      <c r="AH1224" s="111"/>
      <c r="AI1224" s="111"/>
      <c r="AJ1224" s="111"/>
      <c r="AK1224" s="111"/>
      <c r="AL1224" s="111"/>
      <c r="AM1224" s="111"/>
      <c r="AN1224" s="111"/>
      <c r="AO1224" s="111"/>
      <c r="AP1224" s="111"/>
      <c r="AQ1224" s="111"/>
      <c r="AR1224" s="111"/>
      <c r="AS1224" s="111"/>
      <c r="AT1224" s="111"/>
      <c r="AU1224" s="111"/>
      <c r="AV1224" s="50"/>
      <c r="AW1224" s="50"/>
      <c r="AX1224" s="50"/>
      <c r="AY1224" s="50"/>
      <c r="AZ1224" s="50"/>
      <c r="BA1224" s="50"/>
      <c r="BB1224" s="50"/>
      <c r="BC1224" s="50"/>
      <c r="BD1224" s="50"/>
      <c r="BE1224" s="50"/>
      <c r="BF1224" s="50"/>
      <c r="BG1224" s="50"/>
      <c r="BH1224" s="50"/>
      <c r="BI1224" s="50"/>
      <c r="BJ1224" s="50"/>
      <c r="BK1224" s="50"/>
      <c r="BL1224" s="50"/>
      <c r="BM1224" s="50"/>
      <c r="BN1224" s="50"/>
      <c r="BO1224" s="50"/>
      <c r="BP1224" s="50"/>
      <c r="BQ1224" s="50"/>
      <c r="BR1224" s="50"/>
      <c r="BS1224" s="111"/>
      <c r="BT1224" s="50"/>
      <c r="BU1224" s="50"/>
      <c r="BV1224" s="50"/>
      <c r="BW1224" s="50"/>
      <c r="BX1224" s="50"/>
      <c r="BY1224" s="50"/>
      <c r="BZ1224" s="50"/>
      <c r="CA1224" s="50"/>
      <c r="CB1224" s="50"/>
      <c r="CC1224" s="50"/>
      <c r="CD1224" s="50"/>
      <c r="CE1224" s="50"/>
      <c r="CF1224" s="50"/>
      <c r="CG1224" s="50"/>
      <c r="CH1224" s="50"/>
      <c r="CI1224" s="50"/>
      <c r="CJ1224" s="50"/>
      <c r="CK1224" s="50"/>
      <c r="CL1224" s="50"/>
      <c r="CM1224" s="50"/>
      <c r="CN1224" s="50"/>
      <c r="CO1224" s="50"/>
      <c r="CP1224" s="50"/>
      <c r="CQ1224" s="50"/>
      <c r="CR1224" s="50"/>
      <c r="CS1224" s="50"/>
    </row>
    <row r="1225" spans="1:97" ht="15" thickBot="1">
      <c r="A1225" s="49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111"/>
      <c r="O1225" s="111"/>
      <c r="P1225" s="111"/>
      <c r="Q1225" s="111"/>
      <c r="R1225" s="111"/>
      <c r="S1225" s="111"/>
      <c r="T1225" s="111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1"/>
      <c r="AF1225" s="111"/>
      <c r="AG1225" s="111"/>
      <c r="AH1225" s="111"/>
      <c r="AI1225" s="111"/>
      <c r="AJ1225" s="111"/>
      <c r="AK1225" s="111"/>
      <c r="AL1225" s="111"/>
      <c r="AM1225" s="111"/>
      <c r="AN1225" s="111"/>
      <c r="AO1225" s="111"/>
      <c r="AP1225" s="111"/>
      <c r="AQ1225" s="111"/>
      <c r="AR1225" s="111"/>
      <c r="AS1225" s="111"/>
      <c r="AT1225" s="111"/>
      <c r="AU1225" s="111"/>
      <c r="AV1225" s="50"/>
      <c r="AW1225" s="50"/>
      <c r="AX1225" s="50"/>
      <c r="AY1225" s="50"/>
      <c r="AZ1225" s="50"/>
      <c r="BA1225" s="50"/>
      <c r="BB1225" s="50"/>
      <c r="BC1225" s="50"/>
      <c r="BD1225" s="50"/>
      <c r="BE1225" s="50"/>
      <c r="BF1225" s="50"/>
      <c r="BG1225" s="50"/>
      <c r="BH1225" s="50"/>
      <c r="BI1225" s="50"/>
      <c r="BJ1225" s="50"/>
      <c r="BK1225" s="50"/>
      <c r="BL1225" s="50"/>
      <c r="BM1225" s="50"/>
      <c r="BN1225" s="50"/>
      <c r="BO1225" s="50"/>
      <c r="BP1225" s="50"/>
      <c r="BQ1225" s="50"/>
      <c r="BR1225" s="50"/>
      <c r="BS1225" s="111"/>
      <c r="BT1225" s="50"/>
      <c r="BU1225" s="50"/>
      <c r="BV1225" s="50"/>
      <c r="BW1225" s="50"/>
      <c r="BX1225" s="50"/>
      <c r="BY1225" s="50"/>
      <c r="BZ1225" s="50"/>
      <c r="CA1225" s="50"/>
      <c r="CB1225" s="50"/>
      <c r="CC1225" s="50"/>
      <c r="CD1225" s="50"/>
      <c r="CE1225" s="50"/>
      <c r="CF1225" s="50"/>
      <c r="CG1225" s="50"/>
      <c r="CH1225" s="50"/>
      <c r="CI1225" s="50"/>
      <c r="CJ1225" s="50"/>
      <c r="CK1225" s="50"/>
      <c r="CL1225" s="50"/>
      <c r="CM1225" s="50"/>
      <c r="CN1225" s="50"/>
      <c r="CO1225" s="50"/>
      <c r="CP1225" s="50"/>
      <c r="CQ1225" s="50"/>
      <c r="CR1225" s="50"/>
      <c r="CS1225" s="50"/>
    </row>
    <row r="1226" spans="1:97" ht="15" thickBot="1">
      <c r="A1226" s="49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111"/>
      <c r="O1226" s="111"/>
      <c r="P1226" s="111"/>
      <c r="Q1226" s="111"/>
      <c r="R1226" s="111"/>
      <c r="S1226" s="111"/>
      <c r="T1226" s="111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1"/>
      <c r="AF1226" s="111"/>
      <c r="AG1226" s="111"/>
      <c r="AH1226" s="111"/>
      <c r="AI1226" s="111"/>
      <c r="AJ1226" s="111"/>
      <c r="AK1226" s="111"/>
      <c r="AL1226" s="111"/>
      <c r="AM1226" s="111"/>
      <c r="AN1226" s="111"/>
      <c r="AO1226" s="111"/>
      <c r="AP1226" s="111"/>
      <c r="AQ1226" s="111"/>
      <c r="AR1226" s="111"/>
      <c r="AS1226" s="111"/>
      <c r="AT1226" s="111"/>
      <c r="AU1226" s="111"/>
      <c r="AV1226" s="50"/>
      <c r="AW1226" s="50"/>
      <c r="AX1226" s="50"/>
      <c r="AY1226" s="50"/>
      <c r="AZ1226" s="50"/>
      <c r="BA1226" s="50"/>
      <c r="BB1226" s="50"/>
      <c r="BC1226" s="50"/>
      <c r="BD1226" s="50"/>
      <c r="BE1226" s="50"/>
      <c r="BF1226" s="50"/>
      <c r="BG1226" s="50"/>
      <c r="BH1226" s="50"/>
      <c r="BI1226" s="50"/>
      <c r="BJ1226" s="50"/>
      <c r="BK1226" s="50"/>
      <c r="BL1226" s="50"/>
      <c r="BM1226" s="50"/>
      <c r="BN1226" s="50"/>
      <c r="BO1226" s="50"/>
      <c r="BP1226" s="50"/>
      <c r="BQ1226" s="50"/>
      <c r="BR1226" s="50"/>
      <c r="BS1226" s="111"/>
      <c r="BT1226" s="50"/>
      <c r="BU1226" s="50"/>
      <c r="BV1226" s="50"/>
      <c r="BW1226" s="50"/>
      <c r="BX1226" s="50"/>
      <c r="BY1226" s="50"/>
      <c r="BZ1226" s="50"/>
      <c r="CA1226" s="50"/>
      <c r="CB1226" s="50"/>
      <c r="CC1226" s="50"/>
      <c r="CD1226" s="50"/>
      <c r="CE1226" s="50"/>
      <c r="CF1226" s="50"/>
      <c r="CG1226" s="50"/>
      <c r="CH1226" s="50"/>
      <c r="CI1226" s="50"/>
      <c r="CJ1226" s="50"/>
      <c r="CK1226" s="50"/>
      <c r="CL1226" s="50"/>
      <c r="CM1226" s="50"/>
      <c r="CN1226" s="50"/>
      <c r="CO1226" s="50"/>
      <c r="CP1226" s="50"/>
      <c r="CQ1226" s="50"/>
      <c r="CR1226" s="50"/>
      <c r="CS1226" s="50"/>
    </row>
    <row r="1227" spans="1:97" ht="15" thickBot="1">
      <c r="A1227" s="49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111"/>
      <c r="O1227" s="111"/>
      <c r="P1227" s="111"/>
      <c r="Q1227" s="111"/>
      <c r="R1227" s="111"/>
      <c r="S1227" s="111"/>
      <c r="T1227" s="111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1"/>
      <c r="AF1227" s="111"/>
      <c r="AG1227" s="111"/>
      <c r="AH1227" s="111"/>
      <c r="AI1227" s="111"/>
      <c r="AJ1227" s="111"/>
      <c r="AK1227" s="111"/>
      <c r="AL1227" s="111"/>
      <c r="AM1227" s="111"/>
      <c r="AN1227" s="111"/>
      <c r="AO1227" s="111"/>
      <c r="AP1227" s="111"/>
      <c r="AQ1227" s="111"/>
      <c r="AR1227" s="111"/>
      <c r="AS1227" s="111"/>
      <c r="AT1227" s="111"/>
      <c r="AU1227" s="111"/>
      <c r="AV1227" s="50"/>
      <c r="AW1227" s="50"/>
      <c r="AX1227" s="50"/>
      <c r="AY1227" s="50"/>
      <c r="AZ1227" s="50"/>
      <c r="BA1227" s="50"/>
      <c r="BB1227" s="50"/>
      <c r="BC1227" s="50"/>
      <c r="BD1227" s="50"/>
      <c r="BE1227" s="50"/>
      <c r="BF1227" s="50"/>
      <c r="BG1227" s="50"/>
      <c r="BH1227" s="50"/>
      <c r="BI1227" s="50"/>
      <c r="BJ1227" s="50"/>
      <c r="BK1227" s="50"/>
      <c r="BL1227" s="50"/>
      <c r="BM1227" s="50"/>
      <c r="BN1227" s="50"/>
      <c r="BO1227" s="50"/>
      <c r="BP1227" s="50"/>
      <c r="BQ1227" s="50"/>
      <c r="BR1227" s="50"/>
      <c r="BS1227" s="111"/>
      <c r="BT1227" s="50"/>
      <c r="BU1227" s="50"/>
      <c r="BV1227" s="50"/>
      <c r="BW1227" s="50"/>
      <c r="BX1227" s="50"/>
      <c r="BY1227" s="50"/>
      <c r="BZ1227" s="50"/>
      <c r="CA1227" s="50"/>
      <c r="CB1227" s="50"/>
      <c r="CC1227" s="50"/>
      <c r="CD1227" s="50"/>
      <c r="CE1227" s="50"/>
      <c r="CF1227" s="50"/>
      <c r="CG1227" s="50"/>
      <c r="CH1227" s="50"/>
      <c r="CI1227" s="50"/>
      <c r="CJ1227" s="50"/>
      <c r="CK1227" s="50"/>
      <c r="CL1227" s="50"/>
      <c r="CM1227" s="50"/>
      <c r="CN1227" s="50"/>
      <c r="CO1227" s="50"/>
      <c r="CP1227" s="50"/>
      <c r="CQ1227" s="50"/>
      <c r="CR1227" s="50"/>
      <c r="CS1227" s="50"/>
    </row>
    <row r="1228" spans="1:97" ht="15" thickBot="1">
      <c r="A1228" s="49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111"/>
      <c r="O1228" s="111"/>
      <c r="P1228" s="111"/>
      <c r="Q1228" s="111"/>
      <c r="R1228" s="111"/>
      <c r="S1228" s="111"/>
      <c r="T1228" s="111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1"/>
      <c r="AF1228" s="111"/>
      <c r="AG1228" s="111"/>
      <c r="AH1228" s="111"/>
      <c r="AI1228" s="111"/>
      <c r="AJ1228" s="111"/>
      <c r="AK1228" s="111"/>
      <c r="AL1228" s="111"/>
      <c r="AM1228" s="111"/>
      <c r="AN1228" s="111"/>
      <c r="AO1228" s="111"/>
      <c r="AP1228" s="111"/>
      <c r="AQ1228" s="111"/>
      <c r="AR1228" s="111"/>
      <c r="AS1228" s="111"/>
      <c r="AT1228" s="111"/>
      <c r="AU1228" s="111"/>
      <c r="AV1228" s="50"/>
      <c r="AW1228" s="50"/>
      <c r="AX1228" s="50"/>
      <c r="AY1228" s="50"/>
      <c r="AZ1228" s="50"/>
      <c r="BA1228" s="50"/>
      <c r="BB1228" s="50"/>
      <c r="BC1228" s="50"/>
      <c r="BD1228" s="50"/>
      <c r="BE1228" s="50"/>
      <c r="BF1228" s="50"/>
      <c r="BG1228" s="50"/>
      <c r="BH1228" s="50"/>
      <c r="BI1228" s="50"/>
      <c r="BJ1228" s="50"/>
      <c r="BK1228" s="50"/>
      <c r="BL1228" s="50"/>
      <c r="BM1228" s="50"/>
      <c r="BN1228" s="50"/>
      <c r="BO1228" s="50"/>
      <c r="BP1228" s="50"/>
      <c r="BQ1228" s="50"/>
      <c r="BR1228" s="50"/>
      <c r="BS1228" s="111"/>
      <c r="BT1228" s="50"/>
      <c r="BU1228" s="50"/>
      <c r="BV1228" s="50"/>
      <c r="BW1228" s="50"/>
      <c r="BX1228" s="50"/>
      <c r="BY1228" s="50"/>
      <c r="BZ1228" s="50"/>
      <c r="CA1228" s="50"/>
      <c r="CB1228" s="50"/>
      <c r="CC1228" s="50"/>
      <c r="CD1228" s="50"/>
      <c r="CE1228" s="50"/>
      <c r="CF1228" s="50"/>
      <c r="CG1228" s="50"/>
      <c r="CH1228" s="50"/>
      <c r="CI1228" s="50"/>
      <c r="CJ1228" s="50"/>
      <c r="CK1228" s="50"/>
      <c r="CL1228" s="50"/>
      <c r="CM1228" s="50"/>
      <c r="CN1228" s="50"/>
      <c r="CO1228" s="50"/>
      <c r="CP1228" s="50"/>
      <c r="CQ1228" s="50"/>
      <c r="CR1228" s="50"/>
      <c r="CS1228" s="50"/>
    </row>
    <row r="1229" spans="1:97" ht="15" thickBot="1">
      <c r="A1229" s="49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111"/>
      <c r="O1229" s="111"/>
      <c r="P1229" s="111"/>
      <c r="Q1229" s="111"/>
      <c r="R1229" s="111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1"/>
      <c r="AF1229" s="111"/>
      <c r="AG1229" s="111"/>
      <c r="AH1229" s="111"/>
      <c r="AI1229" s="111"/>
      <c r="AJ1229" s="111"/>
      <c r="AK1229" s="111"/>
      <c r="AL1229" s="111"/>
      <c r="AM1229" s="111"/>
      <c r="AN1229" s="111"/>
      <c r="AO1229" s="111"/>
      <c r="AP1229" s="111"/>
      <c r="AQ1229" s="111"/>
      <c r="AR1229" s="111"/>
      <c r="AS1229" s="111"/>
      <c r="AT1229" s="111"/>
      <c r="AU1229" s="111"/>
      <c r="AV1229" s="50"/>
      <c r="AW1229" s="50"/>
      <c r="AX1229" s="50"/>
      <c r="AY1229" s="50"/>
      <c r="AZ1229" s="50"/>
      <c r="BA1229" s="50"/>
      <c r="BB1229" s="50"/>
      <c r="BC1229" s="50"/>
      <c r="BD1229" s="50"/>
      <c r="BE1229" s="50"/>
      <c r="BF1229" s="50"/>
      <c r="BG1229" s="50"/>
      <c r="BH1229" s="50"/>
      <c r="BI1229" s="50"/>
      <c r="BJ1229" s="50"/>
      <c r="BK1229" s="50"/>
      <c r="BL1229" s="50"/>
      <c r="BM1229" s="50"/>
      <c r="BN1229" s="50"/>
      <c r="BO1229" s="50"/>
      <c r="BP1229" s="50"/>
      <c r="BQ1229" s="50"/>
      <c r="BR1229" s="50"/>
      <c r="BS1229" s="111"/>
      <c r="BT1229" s="50"/>
      <c r="BU1229" s="50"/>
      <c r="BV1229" s="50"/>
      <c r="BW1229" s="50"/>
      <c r="BX1229" s="50"/>
      <c r="BY1229" s="50"/>
      <c r="BZ1229" s="50"/>
      <c r="CA1229" s="50"/>
      <c r="CB1229" s="50"/>
      <c r="CC1229" s="50"/>
      <c r="CD1229" s="50"/>
      <c r="CE1229" s="50"/>
      <c r="CF1229" s="50"/>
      <c r="CG1229" s="50"/>
      <c r="CH1229" s="50"/>
      <c r="CI1229" s="50"/>
      <c r="CJ1229" s="50"/>
      <c r="CK1229" s="50"/>
      <c r="CL1229" s="50"/>
      <c r="CM1229" s="50"/>
      <c r="CN1229" s="50"/>
      <c r="CO1229" s="50"/>
      <c r="CP1229" s="50"/>
      <c r="CQ1229" s="50"/>
      <c r="CR1229" s="50"/>
      <c r="CS1229" s="50"/>
    </row>
    <row r="1230" spans="1:97" ht="15" thickBot="1">
      <c r="A1230" s="49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111"/>
      <c r="O1230" s="111"/>
      <c r="P1230" s="111"/>
      <c r="Q1230" s="111"/>
      <c r="R1230" s="111"/>
      <c r="S1230" s="111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1"/>
      <c r="AF1230" s="111"/>
      <c r="AG1230" s="111"/>
      <c r="AH1230" s="111"/>
      <c r="AI1230" s="111"/>
      <c r="AJ1230" s="111"/>
      <c r="AK1230" s="111"/>
      <c r="AL1230" s="111"/>
      <c r="AM1230" s="111"/>
      <c r="AN1230" s="111"/>
      <c r="AO1230" s="111"/>
      <c r="AP1230" s="111"/>
      <c r="AQ1230" s="111"/>
      <c r="AR1230" s="111"/>
      <c r="AS1230" s="111"/>
      <c r="AT1230" s="111"/>
      <c r="AU1230" s="111"/>
      <c r="AV1230" s="50"/>
      <c r="AW1230" s="50"/>
      <c r="AX1230" s="50"/>
      <c r="AY1230" s="50"/>
      <c r="AZ1230" s="50"/>
      <c r="BA1230" s="50"/>
      <c r="BB1230" s="50"/>
      <c r="BC1230" s="50"/>
      <c r="BD1230" s="50"/>
      <c r="BE1230" s="50"/>
      <c r="BF1230" s="50"/>
      <c r="BG1230" s="50"/>
      <c r="BH1230" s="50"/>
      <c r="BI1230" s="50"/>
      <c r="BJ1230" s="50"/>
      <c r="BK1230" s="50"/>
      <c r="BL1230" s="50"/>
      <c r="BM1230" s="50"/>
      <c r="BN1230" s="50"/>
      <c r="BO1230" s="50"/>
      <c r="BP1230" s="50"/>
      <c r="BQ1230" s="50"/>
      <c r="BR1230" s="50"/>
      <c r="BS1230" s="111"/>
      <c r="BT1230" s="50"/>
      <c r="BU1230" s="50"/>
      <c r="BV1230" s="50"/>
      <c r="BW1230" s="50"/>
      <c r="BX1230" s="50"/>
      <c r="BY1230" s="50"/>
      <c r="BZ1230" s="50"/>
      <c r="CA1230" s="50"/>
      <c r="CB1230" s="50"/>
      <c r="CC1230" s="50"/>
      <c r="CD1230" s="50"/>
      <c r="CE1230" s="50"/>
      <c r="CF1230" s="50"/>
      <c r="CG1230" s="50"/>
      <c r="CH1230" s="50"/>
      <c r="CI1230" s="50"/>
      <c r="CJ1230" s="50"/>
      <c r="CK1230" s="50"/>
      <c r="CL1230" s="50"/>
      <c r="CM1230" s="50"/>
      <c r="CN1230" s="50"/>
      <c r="CO1230" s="50"/>
      <c r="CP1230" s="50"/>
      <c r="CQ1230" s="50"/>
      <c r="CR1230" s="50"/>
      <c r="CS1230" s="50"/>
    </row>
    <row r="1231" spans="1:97" ht="15" thickBot="1">
      <c r="A1231" s="49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111"/>
      <c r="O1231" s="111"/>
      <c r="P1231" s="111"/>
      <c r="Q1231" s="111"/>
      <c r="R1231" s="111"/>
      <c r="S1231" s="111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1"/>
      <c r="AF1231" s="111"/>
      <c r="AG1231" s="111"/>
      <c r="AH1231" s="111"/>
      <c r="AI1231" s="111"/>
      <c r="AJ1231" s="111"/>
      <c r="AK1231" s="111"/>
      <c r="AL1231" s="111"/>
      <c r="AM1231" s="111"/>
      <c r="AN1231" s="111"/>
      <c r="AO1231" s="111"/>
      <c r="AP1231" s="111"/>
      <c r="AQ1231" s="111"/>
      <c r="AR1231" s="111"/>
      <c r="AS1231" s="111"/>
      <c r="AT1231" s="111"/>
      <c r="AU1231" s="111"/>
      <c r="AV1231" s="50"/>
      <c r="AW1231" s="50"/>
      <c r="AX1231" s="50"/>
      <c r="AY1231" s="50"/>
      <c r="AZ1231" s="50"/>
      <c r="BA1231" s="50"/>
      <c r="BB1231" s="50"/>
      <c r="BC1231" s="50"/>
      <c r="BD1231" s="50"/>
      <c r="BE1231" s="50"/>
      <c r="BF1231" s="50"/>
      <c r="BG1231" s="50"/>
      <c r="BH1231" s="50"/>
      <c r="BI1231" s="50"/>
      <c r="BJ1231" s="50"/>
      <c r="BK1231" s="50"/>
      <c r="BL1231" s="50"/>
      <c r="BM1231" s="50"/>
      <c r="BN1231" s="50"/>
      <c r="BO1231" s="50"/>
      <c r="BP1231" s="50"/>
      <c r="BQ1231" s="50"/>
      <c r="BR1231" s="50"/>
      <c r="BS1231" s="111"/>
      <c r="BT1231" s="50"/>
      <c r="BU1231" s="50"/>
      <c r="BV1231" s="50"/>
      <c r="BW1231" s="50"/>
      <c r="BX1231" s="50"/>
      <c r="BY1231" s="50"/>
      <c r="BZ1231" s="50"/>
      <c r="CA1231" s="50"/>
      <c r="CB1231" s="50"/>
      <c r="CC1231" s="50"/>
      <c r="CD1231" s="50"/>
      <c r="CE1231" s="50"/>
      <c r="CF1231" s="50"/>
      <c r="CG1231" s="50"/>
      <c r="CH1231" s="50"/>
      <c r="CI1231" s="50"/>
      <c r="CJ1231" s="50"/>
      <c r="CK1231" s="50"/>
      <c r="CL1231" s="50"/>
      <c r="CM1231" s="50"/>
      <c r="CN1231" s="50"/>
      <c r="CO1231" s="50"/>
      <c r="CP1231" s="50"/>
      <c r="CQ1231" s="50"/>
      <c r="CR1231" s="50"/>
      <c r="CS1231" s="50"/>
    </row>
    <row r="1232" spans="1:97" ht="15" thickBot="1">
      <c r="A1232" s="49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111"/>
      <c r="O1232" s="111"/>
      <c r="P1232" s="111"/>
      <c r="Q1232" s="111"/>
      <c r="R1232" s="111"/>
      <c r="S1232" s="111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1"/>
      <c r="AF1232" s="111"/>
      <c r="AG1232" s="111"/>
      <c r="AH1232" s="111"/>
      <c r="AI1232" s="111"/>
      <c r="AJ1232" s="111"/>
      <c r="AK1232" s="111"/>
      <c r="AL1232" s="111"/>
      <c r="AM1232" s="111"/>
      <c r="AN1232" s="111"/>
      <c r="AO1232" s="111"/>
      <c r="AP1232" s="111"/>
      <c r="AQ1232" s="111"/>
      <c r="AR1232" s="111"/>
      <c r="AS1232" s="111"/>
      <c r="AT1232" s="111"/>
      <c r="AU1232" s="111"/>
      <c r="AV1232" s="50"/>
      <c r="AW1232" s="50"/>
      <c r="AX1232" s="50"/>
      <c r="AY1232" s="50"/>
      <c r="AZ1232" s="50"/>
      <c r="BA1232" s="50"/>
      <c r="BB1232" s="50"/>
      <c r="BC1232" s="50"/>
      <c r="BD1232" s="50"/>
      <c r="BE1232" s="50"/>
      <c r="BF1232" s="50"/>
      <c r="BG1232" s="50"/>
      <c r="BH1232" s="50"/>
      <c r="BI1232" s="50"/>
      <c r="BJ1232" s="50"/>
      <c r="BK1232" s="50"/>
      <c r="BL1232" s="50"/>
      <c r="BM1232" s="50"/>
      <c r="BN1232" s="50"/>
      <c r="BO1232" s="50"/>
      <c r="BP1232" s="50"/>
      <c r="BQ1232" s="50"/>
      <c r="BR1232" s="50"/>
      <c r="BS1232" s="111"/>
      <c r="BT1232" s="50"/>
      <c r="BU1232" s="50"/>
      <c r="BV1232" s="50"/>
      <c r="BW1232" s="50"/>
      <c r="BX1232" s="50"/>
      <c r="BY1232" s="50"/>
      <c r="BZ1232" s="50"/>
      <c r="CA1232" s="50"/>
      <c r="CB1232" s="50"/>
      <c r="CC1232" s="50"/>
      <c r="CD1232" s="50"/>
      <c r="CE1232" s="50"/>
      <c r="CF1232" s="50"/>
      <c r="CG1232" s="50"/>
      <c r="CH1232" s="50"/>
      <c r="CI1232" s="50"/>
      <c r="CJ1232" s="50"/>
      <c r="CK1232" s="50"/>
      <c r="CL1232" s="50"/>
      <c r="CM1232" s="50"/>
      <c r="CN1232" s="50"/>
      <c r="CO1232" s="50"/>
      <c r="CP1232" s="50"/>
      <c r="CQ1232" s="50"/>
      <c r="CR1232" s="50"/>
      <c r="CS1232" s="50"/>
    </row>
    <row r="1233" spans="1:97" ht="15" thickBot="1">
      <c r="A1233" s="49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111"/>
      <c r="O1233" s="111"/>
      <c r="P1233" s="111"/>
      <c r="Q1233" s="111"/>
      <c r="R1233" s="111"/>
      <c r="S1233" s="111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1"/>
      <c r="AF1233" s="111"/>
      <c r="AG1233" s="111"/>
      <c r="AH1233" s="111"/>
      <c r="AI1233" s="111"/>
      <c r="AJ1233" s="111"/>
      <c r="AK1233" s="111"/>
      <c r="AL1233" s="111"/>
      <c r="AM1233" s="111"/>
      <c r="AN1233" s="111"/>
      <c r="AO1233" s="111"/>
      <c r="AP1233" s="111"/>
      <c r="AQ1233" s="111"/>
      <c r="AR1233" s="111"/>
      <c r="AS1233" s="111"/>
      <c r="AT1233" s="111"/>
      <c r="AU1233" s="111"/>
      <c r="AV1233" s="50"/>
      <c r="AW1233" s="50"/>
      <c r="AX1233" s="50"/>
      <c r="AY1233" s="50"/>
      <c r="AZ1233" s="50"/>
      <c r="BA1233" s="50"/>
      <c r="BB1233" s="50"/>
      <c r="BC1233" s="50"/>
      <c r="BD1233" s="50"/>
      <c r="BE1233" s="50"/>
      <c r="BF1233" s="50"/>
      <c r="BG1233" s="50"/>
      <c r="BH1233" s="50"/>
      <c r="BI1233" s="50"/>
      <c r="BJ1233" s="50"/>
      <c r="BK1233" s="50"/>
      <c r="BL1233" s="50"/>
      <c r="BM1233" s="50"/>
      <c r="BN1233" s="50"/>
      <c r="BO1233" s="50"/>
      <c r="BP1233" s="50"/>
      <c r="BQ1233" s="50"/>
      <c r="BR1233" s="50"/>
      <c r="BS1233" s="111"/>
      <c r="BT1233" s="50"/>
      <c r="BU1233" s="50"/>
      <c r="BV1233" s="50"/>
      <c r="BW1233" s="50"/>
      <c r="BX1233" s="50"/>
      <c r="BY1233" s="50"/>
      <c r="BZ1233" s="50"/>
      <c r="CA1233" s="50"/>
      <c r="CB1233" s="50"/>
      <c r="CC1233" s="50"/>
      <c r="CD1233" s="50"/>
      <c r="CE1233" s="50"/>
      <c r="CF1233" s="50"/>
      <c r="CG1233" s="50"/>
      <c r="CH1233" s="50"/>
      <c r="CI1233" s="50"/>
      <c r="CJ1233" s="50"/>
      <c r="CK1233" s="50"/>
      <c r="CL1233" s="50"/>
      <c r="CM1233" s="50"/>
      <c r="CN1233" s="50"/>
      <c r="CO1233" s="50"/>
      <c r="CP1233" s="50"/>
      <c r="CQ1233" s="50"/>
      <c r="CR1233" s="50"/>
      <c r="CS1233" s="50"/>
    </row>
    <row r="1234" spans="1:97" ht="15" thickBot="1">
      <c r="A1234" s="49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111"/>
      <c r="O1234" s="111"/>
      <c r="P1234" s="111"/>
      <c r="Q1234" s="111"/>
      <c r="R1234" s="111"/>
      <c r="S1234" s="111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1"/>
      <c r="AF1234" s="111"/>
      <c r="AG1234" s="111"/>
      <c r="AH1234" s="111"/>
      <c r="AI1234" s="111"/>
      <c r="AJ1234" s="111"/>
      <c r="AK1234" s="111"/>
      <c r="AL1234" s="111"/>
      <c r="AM1234" s="111"/>
      <c r="AN1234" s="111"/>
      <c r="AO1234" s="111"/>
      <c r="AP1234" s="111"/>
      <c r="AQ1234" s="111"/>
      <c r="AR1234" s="111"/>
      <c r="AS1234" s="111"/>
      <c r="AT1234" s="111"/>
      <c r="AU1234" s="111"/>
      <c r="AV1234" s="50"/>
      <c r="AW1234" s="50"/>
      <c r="AX1234" s="50"/>
      <c r="AY1234" s="50"/>
      <c r="AZ1234" s="50"/>
      <c r="BA1234" s="50"/>
      <c r="BB1234" s="50"/>
      <c r="BC1234" s="50"/>
      <c r="BD1234" s="50"/>
      <c r="BE1234" s="50"/>
      <c r="BF1234" s="50"/>
      <c r="BG1234" s="50"/>
      <c r="BH1234" s="50"/>
      <c r="BI1234" s="50"/>
      <c r="BJ1234" s="50"/>
      <c r="BK1234" s="50"/>
      <c r="BL1234" s="50"/>
      <c r="BM1234" s="50"/>
      <c r="BN1234" s="50"/>
      <c r="BO1234" s="50"/>
      <c r="BP1234" s="50"/>
      <c r="BQ1234" s="50"/>
      <c r="BR1234" s="50"/>
      <c r="BS1234" s="111"/>
      <c r="BT1234" s="50"/>
      <c r="BU1234" s="50"/>
      <c r="BV1234" s="50"/>
      <c r="BW1234" s="50"/>
      <c r="BX1234" s="50"/>
      <c r="BY1234" s="50"/>
      <c r="BZ1234" s="50"/>
      <c r="CA1234" s="50"/>
      <c r="CB1234" s="50"/>
      <c r="CC1234" s="50"/>
      <c r="CD1234" s="50"/>
      <c r="CE1234" s="50"/>
      <c r="CF1234" s="50"/>
      <c r="CG1234" s="50"/>
      <c r="CH1234" s="50"/>
      <c r="CI1234" s="50"/>
      <c r="CJ1234" s="50"/>
      <c r="CK1234" s="50"/>
      <c r="CL1234" s="50"/>
      <c r="CM1234" s="50"/>
      <c r="CN1234" s="50"/>
      <c r="CO1234" s="50"/>
      <c r="CP1234" s="50"/>
      <c r="CQ1234" s="50"/>
      <c r="CR1234" s="50"/>
      <c r="CS1234" s="50"/>
    </row>
    <row r="1235" spans="1:97" ht="15" thickBot="1">
      <c r="A1235" s="49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111"/>
      <c r="O1235" s="111"/>
      <c r="P1235" s="111"/>
      <c r="Q1235" s="111"/>
      <c r="R1235" s="111"/>
      <c r="S1235" s="111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1"/>
      <c r="AF1235" s="111"/>
      <c r="AG1235" s="111"/>
      <c r="AH1235" s="111"/>
      <c r="AI1235" s="111"/>
      <c r="AJ1235" s="111"/>
      <c r="AK1235" s="111"/>
      <c r="AL1235" s="111"/>
      <c r="AM1235" s="111"/>
      <c r="AN1235" s="111"/>
      <c r="AO1235" s="111"/>
      <c r="AP1235" s="111"/>
      <c r="AQ1235" s="111"/>
      <c r="AR1235" s="111"/>
      <c r="AS1235" s="111"/>
      <c r="AT1235" s="111"/>
      <c r="AU1235" s="111"/>
      <c r="AV1235" s="50"/>
      <c r="AW1235" s="50"/>
      <c r="AX1235" s="50"/>
      <c r="AY1235" s="50"/>
      <c r="AZ1235" s="50"/>
      <c r="BA1235" s="50"/>
      <c r="BB1235" s="50"/>
      <c r="BC1235" s="50"/>
      <c r="BD1235" s="50"/>
      <c r="BE1235" s="50"/>
      <c r="BF1235" s="50"/>
      <c r="BG1235" s="50"/>
      <c r="BH1235" s="50"/>
      <c r="BI1235" s="50"/>
      <c r="BJ1235" s="50"/>
      <c r="BK1235" s="50"/>
      <c r="BL1235" s="50"/>
      <c r="BM1235" s="50"/>
      <c r="BN1235" s="50"/>
      <c r="BO1235" s="50"/>
      <c r="BP1235" s="50"/>
      <c r="BQ1235" s="50"/>
      <c r="BR1235" s="50"/>
      <c r="BS1235" s="111"/>
      <c r="BT1235" s="50"/>
      <c r="BU1235" s="50"/>
      <c r="BV1235" s="50"/>
      <c r="BW1235" s="50"/>
      <c r="BX1235" s="50"/>
      <c r="BY1235" s="50"/>
      <c r="BZ1235" s="50"/>
      <c r="CA1235" s="50"/>
      <c r="CB1235" s="50"/>
      <c r="CC1235" s="50"/>
      <c r="CD1235" s="50"/>
      <c r="CE1235" s="50"/>
      <c r="CF1235" s="50"/>
      <c r="CG1235" s="50"/>
      <c r="CH1235" s="50"/>
      <c r="CI1235" s="50"/>
      <c r="CJ1235" s="50"/>
      <c r="CK1235" s="50"/>
      <c r="CL1235" s="50"/>
      <c r="CM1235" s="50"/>
      <c r="CN1235" s="50"/>
      <c r="CO1235" s="50"/>
      <c r="CP1235" s="50"/>
      <c r="CQ1235" s="50"/>
      <c r="CR1235" s="50"/>
      <c r="CS1235" s="50"/>
    </row>
    <row r="1236" spans="1:97" ht="15" thickBot="1">
      <c r="A1236" s="49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111"/>
      <c r="O1236" s="111"/>
      <c r="P1236" s="111"/>
      <c r="Q1236" s="111"/>
      <c r="R1236" s="111"/>
      <c r="S1236" s="111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1"/>
      <c r="AF1236" s="111"/>
      <c r="AG1236" s="111"/>
      <c r="AH1236" s="111"/>
      <c r="AI1236" s="111"/>
      <c r="AJ1236" s="111"/>
      <c r="AK1236" s="111"/>
      <c r="AL1236" s="111"/>
      <c r="AM1236" s="111"/>
      <c r="AN1236" s="111"/>
      <c r="AO1236" s="111"/>
      <c r="AP1236" s="111"/>
      <c r="AQ1236" s="111"/>
      <c r="AR1236" s="111"/>
      <c r="AS1236" s="111"/>
      <c r="AT1236" s="111"/>
      <c r="AU1236" s="111"/>
      <c r="AV1236" s="50"/>
      <c r="AW1236" s="50"/>
      <c r="AX1236" s="50"/>
      <c r="AY1236" s="50"/>
      <c r="AZ1236" s="50"/>
      <c r="BA1236" s="50"/>
      <c r="BB1236" s="50"/>
      <c r="BC1236" s="50"/>
      <c r="BD1236" s="50"/>
      <c r="BE1236" s="50"/>
      <c r="BF1236" s="50"/>
      <c r="BG1236" s="50"/>
      <c r="BH1236" s="50"/>
      <c r="BI1236" s="50"/>
      <c r="BJ1236" s="50"/>
      <c r="BK1236" s="50"/>
      <c r="BL1236" s="50"/>
      <c r="BM1236" s="50"/>
      <c r="BN1236" s="50"/>
      <c r="BO1236" s="50"/>
      <c r="BP1236" s="50"/>
      <c r="BQ1236" s="50"/>
      <c r="BR1236" s="50"/>
      <c r="BS1236" s="111"/>
      <c r="BT1236" s="50"/>
      <c r="BU1236" s="50"/>
      <c r="BV1236" s="50"/>
      <c r="BW1236" s="50"/>
      <c r="BX1236" s="50"/>
      <c r="BY1236" s="50"/>
      <c r="BZ1236" s="50"/>
      <c r="CA1236" s="50"/>
      <c r="CB1236" s="50"/>
      <c r="CC1236" s="50"/>
      <c r="CD1236" s="50"/>
      <c r="CE1236" s="50"/>
      <c r="CF1236" s="50"/>
      <c r="CG1236" s="50"/>
      <c r="CH1236" s="50"/>
      <c r="CI1236" s="50"/>
      <c r="CJ1236" s="50"/>
      <c r="CK1236" s="50"/>
      <c r="CL1236" s="50"/>
      <c r="CM1236" s="50"/>
      <c r="CN1236" s="50"/>
      <c r="CO1236" s="50"/>
      <c r="CP1236" s="50"/>
      <c r="CQ1236" s="50"/>
      <c r="CR1236" s="50"/>
      <c r="CS1236" s="50"/>
    </row>
    <row r="1237" spans="1:97" ht="15" thickBot="1">
      <c r="A1237" s="49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111"/>
      <c r="O1237" s="111"/>
      <c r="P1237" s="111"/>
      <c r="Q1237" s="111"/>
      <c r="R1237" s="111"/>
      <c r="S1237" s="111"/>
      <c r="T1237" s="111"/>
      <c r="U1237" s="111"/>
      <c r="V1237" s="111"/>
      <c r="W1237" s="111"/>
      <c r="X1237" s="111"/>
      <c r="Y1237" s="111"/>
      <c r="Z1237" s="111"/>
      <c r="AA1237" s="111"/>
      <c r="AB1237" s="111"/>
      <c r="AC1237" s="111"/>
      <c r="AD1237" s="111"/>
      <c r="AE1237" s="111"/>
      <c r="AF1237" s="111"/>
      <c r="AG1237" s="111"/>
      <c r="AH1237" s="111"/>
      <c r="AI1237" s="111"/>
      <c r="AJ1237" s="111"/>
      <c r="AK1237" s="111"/>
      <c r="AL1237" s="111"/>
      <c r="AM1237" s="111"/>
      <c r="AN1237" s="111"/>
      <c r="AO1237" s="111"/>
      <c r="AP1237" s="111"/>
      <c r="AQ1237" s="111"/>
      <c r="AR1237" s="111"/>
      <c r="AS1237" s="111"/>
      <c r="AT1237" s="111"/>
      <c r="AU1237" s="111"/>
      <c r="AV1237" s="50"/>
      <c r="AW1237" s="50"/>
      <c r="AX1237" s="50"/>
      <c r="AY1237" s="50"/>
      <c r="AZ1237" s="50"/>
      <c r="BA1237" s="50"/>
      <c r="BB1237" s="50"/>
      <c r="BC1237" s="50"/>
      <c r="BD1237" s="50"/>
      <c r="BE1237" s="50"/>
      <c r="BF1237" s="50"/>
      <c r="BG1237" s="50"/>
      <c r="BH1237" s="50"/>
      <c r="BI1237" s="50"/>
      <c r="BJ1237" s="50"/>
      <c r="BK1237" s="50"/>
      <c r="BL1237" s="50"/>
      <c r="BM1237" s="50"/>
      <c r="BN1237" s="50"/>
      <c r="BO1237" s="50"/>
      <c r="BP1237" s="50"/>
      <c r="BQ1237" s="50"/>
      <c r="BR1237" s="50"/>
      <c r="BS1237" s="111"/>
      <c r="BT1237" s="50"/>
      <c r="BU1237" s="50"/>
      <c r="BV1237" s="50"/>
      <c r="BW1237" s="50"/>
      <c r="BX1237" s="50"/>
      <c r="BY1237" s="50"/>
      <c r="BZ1237" s="50"/>
      <c r="CA1237" s="50"/>
      <c r="CB1237" s="50"/>
      <c r="CC1237" s="50"/>
      <c r="CD1237" s="50"/>
      <c r="CE1237" s="50"/>
      <c r="CF1237" s="50"/>
      <c r="CG1237" s="50"/>
      <c r="CH1237" s="50"/>
      <c r="CI1237" s="50"/>
      <c r="CJ1237" s="50"/>
      <c r="CK1237" s="50"/>
      <c r="CL1237" s="50"/>
      <c r="CM1237" s="50"/>
      <c r="CN1237" s="50"/>
      <c r="CO1237" s="50"/>
      <c r="CP1237" s="50"/>
      <c r="CQ1237" s="50"/>
      <c r="CR1237" s="50"/>
      <c r="CS1237" s="50"/>
    </row>
    <row r="1238" spans="1:97" ht="15" thickBot="1">
      <c r="A1238" s="49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111"/>
      <c r="O1238" s="111"/>
      <c r="P1238" s="111"/>
      <c r="Q1238" s="111"/>
      <c r="R1238" s="111"/>
      <c r="S1238" s="111"/>
      <c r="T1238" s="111"/>
      <c r="U1238" s="111"/>
      <c r="V1238" s="111"/>
      <c r="W1238" s="111"/>
      <c r="X1238" s="111"/>
      <c r="Y1238" s="111"/>
      <c r="Z1238" s="111"/>
      <c r="AA1238" s="111"/>
      <c r="AB1238" s="111"/>
      <c r="AC1238" s="111"/>
      <c r="AD1238" s="111"/>
      <c r="AE1238" s="111"/>
      <c r="AF1238" s="111"/>
      <c r="AG1238" s="111"/>
      <c r="AH1238" s="111"/>
      <c r="AI1238" s="111"/>
      <c r="AJ1238" s="111"/>
      <c r="AK1238" s="111"/>
      <c r="AL1238" s="111"/>
      <c r="AM1238" s="111"/>
      <c r="AN1238" s="111"/>
      <c r="AO1238" s="111"/>
      <c r="AP1238" s="111"/>
      <c r="AQ1238" s="111"/>
      <c r="AR1238" s="111"/>
      <c r="AS1238" s="111"/>
      <c r="AT1238" s="111"/>
      <c r="AU1238" s="111"/>
      <c r="AV1238" s="50"/>
      <c r="AW1238" s="50"/>
      <c r="AX1238" s="50"/>
      <c r="AY1238" s="50"/>
      <c r="AZ1238" s="50"/>
      <c r="BA1238" s="50"/>
      <c r="BB1238" s="50"/>
      <c r="BC1238" s="50"/>
      <c r="BD1238" s="50"/>
      <c r="BE1238" s="50"/>
      <c r="BF1238" s="50"/>
      <c r="BG1238" s="50"/>
      <c r="BH1238" s="50"/>
      <c r="BI1238" s="50"/>
      <c r="BJ1238" s="50"/>
      <c r="BK1238" s="50"/>
      <c r="BL1238" s="50"/>
      <c r="BM1238" s="50"/>
      <c r="BN1238" s="50"/>
      <c r="BO1238" s="50"/>
      <c r="BP1238" s="50"/>
      <c r="BQ1238" s="50"/>
      <c r="BR1238" s="50"/>
      <c r="BS1238" s="111"/>
      <c r="BT1238" s="50"/>
      <c r="BU1238" s="50"/>
      <c r="BV1238" s="50"/>
      <c r="BW1238" s="50"/>
      <c r="BX1238" s="50"/>
      <c r="BY1238" s="50"/>
      <c r="BZ1238" s="50"/>
      <c r="CA1238" s="50"/>
      <c r="CB1238" s="50"/>
      <c r="CC1238" s="50"/>
      <c r="CD1238" s="50"/>
      <c r="CE1238" s="50"/>
      <c r="CF1238" s="50"/>
      <c r="CG1238" s="50"/>
      <c r="CH1238" s="50"/>
      <c r="CI1238" s="50"/>
      <c r="CJ1238" s="50"/>
      <c r="CK1238" s="50"/>
      <c r="CL1238" s="50"/>
      <c r="CM1238" s="50"/>
      <c r="CN1238" s="50"/>
      <c r="CO1238" s="50"/>
      <c r="CP1238" s="50"/>
      <c r="CQ1238" s="50"/>
      <c r="CR1238" s="50"/>
      <c r="CS1238" s="50"/>
    </row>
    <row r="1239" spans="1:97" ht="15" thickBot="1">
      <c r="A1239" s="49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111"/>
      <c r="O1239" s="111"/>
      <c r="P1239" s="111"/>
      <c r="Q1239" s="111"/>
      <c r="R1239" s="111"/>
      <c r="S1239" s="111"/>
      <c r="T1239" s="111"/>
      <c r="U1239" s="111"/>
      <c r="V1239" s="111"/>
      <c r="W1239" s="111"/>
      <c r="X1239" s="111"/>
      <c r="Y1239" s="111"/>
      <c r="Z1239" s="111"/>
      <c r="AA1239" s="111"/>
      <c r="AB1239" s="111"/>
      <c r="AC1239" s="111"/>
      <c r="AD1239" s="111"/>
      <c r="AE1239" s="111"/>
      <c r="AF1239" s="111"/>
      <c r="AG1239" s="111"/>
      <c r="AH1239" s="111"/>
      <c r="AI1239" s="111"/>
      <c r="AJ1239" s="111"/>
      <c r="AK1239" s="111"/>
      <c r="AL1239" s="111"/>
      <c r="AM1239" s="111"/>
      <c r="AN1239" s="111"/>
      <c r="AO1239" s="111"/>
      <c r="AP1239" s="111"/>
      <c r="AQ1239" s="111"/>
      <c r="AR1239" s="111"/>
      <c r="AS1239" s="111"/>
      <c r="AT1239" s="111"/>
      <c r="AU1239" s="111"/>
      <c r="AV1239" s="50"/>
      <c r="AW1239" s="50"/>
      <c r="AX1239" s="50"/>
      <c r="AY1239" s="50"/>
      <c r="AZ1239" s="50"/>
      <c r="BA1239" s="50"/>
      <c r="BB1239" s="50"/>
      <c r="BC1239" s="50"/>
      <c r="BD1239" s="50"/>
      <c r="BE1239" s="50"/>
      <c r="BF1239" s="50"/>
      <c r="BG1239" s="50"/>
      <c r="BH1239" s="50"/>
      <c r="BI1239" s="50"/>
      <c r="BJ1239" s="50"/>
      <c r="BK1239" s="50"/>
      <c r="BL1239" s="50"/>
      <c r="BM1239" s="50"/>
      <c r="BN1239" s="50"/>
      <c r="BO1239" s="50"/>
      <c r="BP1239" s="50"/>
      <c r="BQ1239" s="50"/>
      <c r="BR1239" s="50"/>
      <c r="BS1239" s="111"/>
      <c r="BT1239" s="50"/>
      <c r="BU1239" s="50"/>
      <c r="BV1239" s="50"/>
      <c r="BW1239" s="50"/>
      <c r="BX1239" s="50"/>
      <c r="BY1239" s="50"/>
      <c r="BZ1239" s="50"/>
      <c r="CA1239" s="50"/>
      <c r="CB1239" s="50"/>
      <c r="CC1239" s="50"/>
      <c r="CD1239" s="50"/>
      <c r="CE1239" s="50"/>
      <c r="CF1239" s="50"/>
      <c r="CG1239" s="50"/>
      <c r="CH1239" s="50"/>
      <c r="CI1239" s="50"/>
      <c r="CJ1239" s="50"/>
      <c r="CK1239" s="50"/>
      <c r="CL1239" s="50"/>
      <c r="CM1239" s="50"/>
      <c r="CN1239" s="50"/>
      <c r="CO1239" s="50"/>
      <c r="CP1239" s="50"/>
      <c r="CQ1239" s="50"/>
      <c r="CR1239" s="50"/>
      <c r="CS1239" s="50"/>
    </row>
    <row r="1240" spans="1:97" ht="15" thickBot="1">
      <c r="A1240" s="49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111"/>
      <c r="O1240" s="111"/>
      <c r="P1240" s="111"/>
      <c r="Q1240" s="111"/>
      <c r="R1240" s="111"/>
      <c r="S1240" s="111"/>
      <c r="T1240" s="111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1"/>
      <c r="AF1240" s="111"/>
      <c r="AG1240" s="111"/>
      <c r="AH1240" s="111"/>
      <c r="AI1240" s="111"/>
      <c r="AJ1240" s="111"/>
      <c r="AK1240" s="111"/>
      <c r="AL1240" s="111"/>
      <c r="AM1240" s="111"/>
      <c r="AN1240" s="111"/>
      <c r="AO1240" s="111"/>
      <c r="AP1240" s="111"/>
      <c r="AQ1240" s="111"/>
      <c r="AR1240" s="111"/>
      <c r="AS1240" s="111"/>
      <c r="AT1240" s="111"/>
      <c r="AU1240" s="111"/>
      <c r="AV1240" s="50"/>
      <c r="AW1240" s="50"/>
      <c r="AX1240" s="50"/>
      <c r="AY1240" s="50"/>
      <c r="AZ1240" s="50"/>
      <c r="BA1240" s="50"/>
      <c r="BB1240" s="50"/>
      <c r="BC1240" s="50"/>
      <c r="BD1240" s="50"/>
      <c r="BE1240" s="50"/>
      <c r="BF1240" s="50"/>
      <c r="BG1240" s="50"/>
      <c r="BH1240" s="50"/>
      <c r="BI1240" s="50"/>
      <c r="BJ1240" s="50"/>
      <c r="BK1240" s="50"/>
      <c r="BL1240" s="50"/>
      <c r="BM1240" s="50"/>
      <c r="BN1240" s="50"/>
      <c r="BO1240" s="50"/>
      <c r="BP1240" s="50"/>
      <c r="BQ1240" s="50"/>
      <c r="BR1240" s="50"/>
      <c r="BS1240" s="111"/>
      <c r="BT1240" s="50"/>
      <c r="BU1240" s="50"/>
      <c r="BV1240" s="50"/>
      <c r="BW1240" s="50"/>
      <c r="BX1240" s="50"/>
      <c r="BY1240" s="50"/>
      <c r="BZ1240" s="50"/>
      <c r="CA1240" s="50"/>
      <c r="CB1240" s="50"/>
      <c r="CC1240" s="50"/>
      <c r="CD1240" s="50"/>
      <c r="CE1240" s="50"/>
      <c r="CF1240" s="50"/>
      <c r="CG1240" s="50"/>
      <c r="CH1240" s="50"/>
      <c r="CI1240" s="50"/>
      <c r="CJ1240" s="50"/>
      <c r="CK1240" s="50"/>
      <c r="CL1240" s="50"/>
      <c r="CM1240" s="50"/>
      <c r="CN1240" s="50"/>
      <c r="CO1240" s="50"/>
      <c r="CP1240" s="50"/>
      <c r="CQ1240" s="50"/>
      <c r="CR1240" s="50"/>
      <c r="CS1240" s="50"/>
    </row>
    <row r="1241" spans="1:97" ht="15" thickBot="1">
      <c r="A1241" s="49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111"/>
      <c r="O1241" s="111"/>
      <c r="P1241" s="111"/>
      <c r="Q1241" s="111"/>
      <c r="R1241" s="111"/>
      <c r="S1241" s="111"/>
      <c r="T1241" s="111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1"/>
      <c r="AF1241" s="111"/>
      <c r="AG1241" s="111"/>
      <c r="AH1241" s="111"/>
      <c r="AI1241" s="111"/>
      <c r="AJ1241" s="111"/>
      <c r="AK1241" s="111"/>
      <c r="AL1241" s="111"/>
      <c r="AM1241" s="111"/>
      <c r="AN1241" s="111"/>
      <c r="AO1241" s="111"/>
      <c r="AP1241" s="111"/>
      <c r="AQ1241" s="111"/>
      <c r="AR1241" s="111"/>
      <c r="AS1241" s="111"/>
      <c r="AT1241" s="111"/>
      <c r="AU1241" s="111"/>
      <c r="AV1241" s="50"/>
      <c r="AW1241" s="50"/>
      <c r="AX1241" s="50"/>
      <c r="AY1241" s="50"/>
      <c r="AZ1241" s="50"/>
      <c r="BA1241" s="50"/>
      <c r="BB1241" s="50"/>
      <c r="BC1241" s="50"/>
      <c r="BD1241" s="50"/>
      <c r="BE1241" s="50"/>
      <c r="BF1241" s="50"/>
      <c r="BG1241" s="50"/>
      <c r="BH1241" s="50"/>
      <c r="BI1241" s="50"/>
      <c r="BJ1241" s="50"/>
      <c r="BK1241" s="50"/>
      <c r="BL1241" s="50"/>
      <c r="BM1241" s="50"/>
      <c r="BN1241" s="50"/>
      <c r="BO1241" s="50"/>
      <c r="BP1241" s="50"/>
      <c r="BQ1241" s="50"/>
      <c r="BR1241" s="50"/>
      <c r="BS1241" s="111"/>
      <c r="BT1241" s="50"/>
      <c r="BU1241" s="50"/>
      <c r="BV1241" s="50"/>
      <c r="BW1241" s="50"/>
      <c r="BX1241" s="50"/>
      <c r="BY1241" s="50"/>
      <c r="BZ1241" s="50"/>
      <c r="CA1241" s="50"/>
      <c r="CB1241" s="50"/>
      <c r="CC1241" s="50"/>
      <c r="CD1241" s="50"/>
      <c r="CE1241" s="50"/>
      <c r="CF1241" s="50"/>
      <c r="CG1241" s="50"/>
      <c r="CH1241" s="50"/>
      <c r="CI1241" s="50"/>
      <c r="CJ1241" s="50"/>
      <c r="CK1241" s="50"/>
      <c r="CL1241" s="50"/>
      <c r="CM1241" s="50"/>
      <c r="CN1241" s="50"/>
      <c r="CO1241" s="50"/>
      <c r="CP1241" s="50"/>
      <c r="CQ1241" s="50"/>
      <c r="CR1241" s="50"/>
      <c r="CS1241" s="50"/>
    </row>
    <row r="1242" spans="1:97" ht="15" thickBot="1">
      <c r="A1242" s="49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111"/>
      <c r="O1242" s="111"/>
      <c r="P1242" s="111"/>
      <c r="Q1242" s="111"/>
      <c r="R1242" s="111"/>
      <c r="S1242" s="111"/>
      <c r="T1242" s="111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1"/>
      <c r="AF1242" s="111"/>
      <c r="AG1242" s="111"/>
      <c r="AH1242" s="111"/>
      <c r="AI1242" s="111"/>
      <c r="AJ1242" s="111"/>
      <c r="AK1242" s="111"/>
      <c r="AL1242" s="111"/>
      <c r="AM1242" s="111"/>
      <c r="AN1242" s="111"/>
      <c r="AO1242" s="111"/>
      <c r="AP1242" s="111"/>
      <c r="AQ1242" s="111"/>
      <c r="AR1242" s="111"/>
      <c r="AS1242" s="111"/>
      <c r="AT1242" s="111"/>
      <c r="AU1242" s="111"/>
      <c r="AV1242" s="50"/>
      <c r="AW1242" s="50"/>
      <c r="AX1242" s="50"/>
      <c r="AY1242" s="50"/>
      <c r="AZ1242" s="50"/>
      <c r="BA1242" s="50"/>
      <c r="BB1242" s="50"/>
      <c r="BC1242" s="50"/>
      <c r="BD1242" s="50"/>
      <c r="BE1242" s="50"/>
      <c r="BF1242" s="50"/>
      <c r="BG1242" s="50"/>
      <c r="BH1242" s="50"/>
      <c r="BI1242" s="50"/>
      <c r="BJ1242" s="50"/>
      <c r="BK1242" s="50"/>
      <c r="BL1242" s="50"/>
      <c r="BM1242" s="50"/>
      <c r="BN1242" s="50"/>
      <c r="BO1242" s="50"/>
      <c r="BP1242" s="50"/>
      <c r="BQ1242" s="50"/>
      <c r="BR1242" s="50"/>
      <c r="BS1242" s="111"/>
      <c r="BT1242" s="50"/>
      <c r="BU1242" s="50"/>
      <c r="BV1242" s="50"/>
      <c r="BW1242" s="50"/>
      <c r="BX1242" s="50"/>
      <c r="BY1242" s="50"/>
      <c r="BZ1242" s="50"/>
      <c r="CA1242" s="50"/>
      <c r="CB1242" s="50"/>
      <c r="CC1242" s="50"/>
      <c r="CD1242" s="50"/>
      <c r="CE1242" s="50"/>
      <c r="CF1242" s="50"/>
      <c r="CG1242" s="50"/>
      <c r="CH1242" s="50"/>
      <c r="CI1242" s="50"/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</row>
    <row r="1243" spans="1:97" ht="15" thickBot="1">
      <c r="A1243" s="49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111"/>
      <c r="O1243" s="111"/>
      <c r="P1243" s="111"/>
      <c r="Q1243" s="111"/>
      <c r="R1243" s="111"/>
      <c r="S1243" s="111"/>
      <c r="T1243" s="111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1"/>
      <c r="AF1243" s="111"/>
      <c r="AG1243" s="111"/>
      <c r="AH1243" s="111"/>
      <c r="AI1243" s="111"/>
      <c r="AJ1243" s="111"/>
      <c r="AK1243" s="111"/>
      <c r="AL1243" s="111"/>
      <c r="AM1243" s="111"/>
      <c r="AN1243" s="111"/>
      <c r="AO1243" s="111"/>
      <c r="AP1243" s="111"/>
      <c r="AQ1243" s="111"/>
      <c r="AR1243" s="111"/>
      <c r="AS1243" s="111"/>
      <c r="AT1243" s="111"/>
      <c r="AU1243" s="111"/>
      <c r="AV1243" s="50"/>
      <c r="AW1243" s="50"/>
      <c r="AX1243" s="50"/>
      <c r="AY1243" s="50"/>
      <c r="AZ1243" s="50"/>
      <c r="BA1243" s="50"/>
      <c r="BB1243" s="50"/>
      <c r="BC1243" s="50"/>
      <c r="BD1243" s="50"/>
      <c r="BE1243" s="50"/>
      <c r="BF1243" s="50"/>
      <c r="BG1243" s="50"/>
      <c r="BH1243" s="50"/>
      <c r="BI1243" s="50"/>
      <c r="BJ1243" s="50"/>
      <c r="BK1243" s="50"/>
      <c r="BL1243" s="50"/>
      <c r="BM1243" s="50"/>
      <c r="BN1243" s="50"/>
      <c r="BO1243" s="50"/>
      <c r="BP1243" s="50"/>
      <c r="BQ1243" s="50"/>
      <c r="BR1243" s="50"/>
      <c r="BS1243" s="111"/>
      <c r="BT1243" s="50"/>
      <c r="BU1243" s="50"/>
      <c r="BV1243" s="50"/>
      <c r="BW1243" s="50"/>
      <c r="BX1243" s="50"/>
      <c r="BY1243" s="50"/>
      <c r="BZ1243" s="50"/>
      <c r="CA1243" s="50"/>
      <c r="CB1243" s="50"/>
      <c r="CC1243" s="50"/>
      <c r="CD1243" s="50"/>
      <c r="CE1243" s="50"/>
      <c r="CF1243" s="50"/>
      <c r="CG1243" s="50"/>
      <c r="CH1243" s="50"/>
      <c r="CI1243" s="50"/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</row>
    <row r="1244" spans="1:97" ht="15" thickBot="1">
      <c r="A1244" s="49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111"/>
      <c r="O1244" s="111"/>
      <c r="P1244" s="111"/>
      <c r="Q1244" s="111"/>
      <c r="R1244" s="111"/>
      <c r="S1244" s="111"/>
      <c r="T1244" s="111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1"/>
      <c r="AF1244" s="111"/>
      <c r="AG1244" s="111"/>
      <c r="AH1244" s="111"/>
      <c r="AI1244" s="111"/>
      <c r="AJ1244" s="111"/>
      <c r="AK1244" s="111"/>
      <c r="AL1244" s="111"/>
      <c r="AM1244" s="111"/>
      <c r="AN1244" s="111"/>
      <c r="AO1244" s="111"/>
      <c r="AP1244" s="111"/>
      <c r="AQ1244" s="111"/>
      <c r="AR1244" s="111"/>
      <c r="AS1244" s="111"/>
      <c r="AT1244" s="111"/>
      <c r="AU1244" s="111"/>
      <c r="AV1244" s="50"/>
      <c r="AW1244" s="50"/>
      <c r="AX1244" s="50"/>
      <c r="AY1244" s="50"/>
      <c r="AZ1244" s="50"/>
      <c r="BA1244" s="50"/>
      <c r="BB1244" s="50"/>
      <c r="BC1244" s="50"/>
      <c r="BD1244" s="50"/>
      <c r="BE1244" s="50"/>
      <c r="BF1244" s="50"/>
      <c r="BG1244" s="50"/>
      <c r="BH1244" s="50"/>
      <c r="BI1244" s="50"/>
      <c r="BJ1244" s="50"/>
      <c r="BK1244" s="50"/>
      <c r="BL1244" s="50"/>
      <c r="BM1244" s="50"/>
      <c r="BN1244" s="50"/>
      <c r="BO1244" s="50"/>
      <c r="BP1244" s="50"/>
      <c r="BQ1244" s="50"/>
      <c r="BR1244" s="50"/>
      <c r="BS1244" s="111"/>
      <c r="BT1244" s="50"/>
      <c r="BU1244" s="50"/>
      <c r="BV1244" s="50"/>
      <c r="BW1244" s="50"/>
      <c r="BX1244" s="50"/>
      <c r="BY1244" s="50"/>
      <c r="BZ1244" s="50"/>
      <c r="CA1244" s="50"/>
      <c r="CB1244" s="50"/>
      <c r="CC1244" s="50"/>
      <c r="CD1244" s="50"/>
      <c r="CE1244" s="50"/>
      <c r="CF1244" s="50"/>
      <c r="CG1244" s="50"/>
      <c r="CH1244" s="50"/>
      <c r="CI1244" s="50"/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</row>
    <row r="1245" spans="1:97" ht="15" thickBot="1">
      <c r="A1245" s="49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111"/>
      <c r="O1245" s="111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1"/>
      <c r="AF1245" s="111"/>
      <c r="AG1245" s="111"/>
      <c r="AH1245" s="111"/>
      <c r="AI1245" s="111"/>
      <c r="AJ1245" s="111"/>
      <c r="AK1245" s="111"/>
      <c r="AL1245" s="111"/>
      <c r="AM1245" s="111"/>
      <c r="AN1245" s="111"/>
      <c r="AO1245" s="111"/>
      <c r="AP1245" s="111"/>
      <c r="AQ1245" s="111"/>
      <c r="AR1245" s="111"/>
      <c r="AS1245" s="111"/>
      <c r="AT1245" s="111"/>
      <c r="AU1245" s="111"/>
      <c r="AV1245" s="50"/>
      <c r="AW1245" s="50"/>
      <c r="AX1245" s="50"/>
      <c r="AY1245" s="50"/>
      <c r="AZ1245" s="50"/>
      <c r="BA1245" s="50"/>
      <c r="BB1245" s="50"/>
      <c r="BC1245" s="50"/>
      <c r="BD1245" s="50"/>
      <c r="BE1245" s="50"/>
      <c r="BF1245" s="50"/>
      <c r="BG1245" s="50"/>
      <c r="BH1245" s="50"/>
      <c r="BI1245" s="50"/>
      <c r="BJ1245" s="50"/>
      <c r="BK1245" s="50"/>
      <c r="BL1245" s="50"/>
      <c r="BM1245" s="50"/>
      <c r="BN1245" s="50"/>
      <c r="BO1245" s="50"/>
      <c r="BP1245" s="50"/>
      <c r="BQ1245" s="50"/>
      <c r="BR1245" s="50"/>
      <c r="BS1245" s="111"/>
      <c r="BT1245" s="50"/>
      <c r="BU1245" s="50"/>
      <c r="BV1245" s="50"/>
      <c r="BW1245" s="50"/>
      <c r="BX1245" s="50"/>
      <c r="BY1245" s="50"/>
      <c r="BZ1245" s="50"/>
      <c r="CA1245" s="50"/>
      <c r="CB1245" s="50"/>
      <c r="CC1245" s="50"/>
      <c r="CD1245" s="50"/>
      <c r="CE1245" s="50"/>
      <c r="CF1245" s="50"/>
      <c r="CG1245" s="50"/>
      <c r="CH1245" s="50"/>
      <c r="CI1245" s="50"/>
      <c r="CJ1245" s="50"/>
      <c r="CK1245" s="50"/>
      <c r="CL1245" s="50"/>
      <c r="CM1245" s="50"/>
      <c r="CN1245" s="50"/>
      <c r="CO1245" s="50"/>
      <c r="CP1245" s="50"/>
      <c r="CQ1245" s="50"/>
      <c r="CR1245" s="50"/>
      <c r="CS1245" s="50"/>
    </row>
    <row r="1246" spans="1:97" ht="15" thickBot="1">
      <c r="A1246" s="49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111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1"/>
      <c r="AF1246" s="111"/>
      <c r="AG1246" s="111"/>
      <c r="AH1246" s="111"/>
      <c r="AI1246" s="111"/>
      <c r="AJ1246" s="111"/>
      <c r="AK1246" s="111"/>
      <c r="AL1246" s="111"/>
      <c r="AM1246" s="111"/>
      <c r="AN1246" s="111"/>
      <c r="AO1246" s="111"/>
      <c r="AP1246" s="111"/>
      <c r="AQ1246" s="111"/>
      <c r="AR1246" s="111"/>
      <c r="AS1246" s="111"/>
      <c r="AT1246" s="111"/>
      <c r="AU1246" s="111"/>
      <c r="AV1246" s="50"/>
      <c r="AW1246" s="50"/>
      <c r="AX1246" s="50"/>
      <c r="AY1246" s="50"/>
      <c r="AZ1246" s="50"/>
      <c r="BA1246" s="50"/>
      <c r="BB1246" s="50"/>
      <c r="BC1246" s="50"/>
      <c r="BD1246" s="50"/>
      <c r="BE1246" s="50"/>
      <c r="BF1246" s="50"/>
      <c r="BG1246" s="50"/>
      <c r="BH1246" s="50"/>
      <c r="BI1246" s="50"/>
      <c r="BJ1246" s="50"/>
      <c r="BK1246" s="50"/>
      <c r="BL1246" s="50"/>
      <c r="BM1246" s="50"/>
      <c r="BN1246" s="50"/>
      <c r="BO1246" s="50"/>
      <c r="BP1246" s="50"/>
      <c r="BQ1246" s="50"/>
      <c r="BR1246" s="50"/>
      <c r="BS1246" s="111"/>
      <c r="BT1246" s="50"/>
      <c r="BU1246" s="50"/>
      <c r="BV1246" s="50"/>
      <c r="BW1246" s="50"/>
      <c r="BX1246" s="50"/>
      <c r="BY1246" s="50"/>
      <c r="BZ1246" s="50"/>
      <c r="CA1246" s="50"/>
      <c r="CB1246" s="50"/>
      <c r="CC1246" s="50"/>
      <c r="CD1246" s="50"/>
      <c r="CE1246" s="50"/>
      <c r="CF1246" s="50"/>
      <c r="CG1246" s="50"/>
      <c r="CH1246" s="50"/>
      <c r="CI1246" s="50"/>
      <c r="CJ1246" s="50"/>
      <c r="CK1246" s="50"/>
      <c r="CL1246" s="50"/>
      <c r="CM1246" s="50"/>
      <c r="CN1246" s="50"/>
      <c r="CO1246" s="50"/>
      <c r="CP1246" s="50"/>
      <c r="CQ1246" s="50"/>
      <c r="CR1246" s="50"/>
      <c r="CS1246" s="50"/>
    </row>
    <row r="1247" spans="1:97" ht="15" thickBot="1">
      <c r="A1247" s="49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111"/>
      <c r="O1247" s="111"/>
      <c r="P1247" s="111"/>
      <c r="Q1247" s="111"/>
      <c r="R1247" s="111"/>
      <c r="S1247" s="111"/>
      <c r="T1247" s="111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1"/>
      <c r="AF1247" s="111"/>
      <c r="AG1247" s="111"/>
      <c r="AH1247" s="111"/>
      <c r="AI1247" s="111"/>
      <c r="AJ1247" s="111"/>
      <c r="AK1247" s="111"/>
      <c r="AL1247" s="111"/>
      <c r="AM1247" s="111"/>
      <c r="AN1247" s="111"/>
      <c r="AO1247" s="111"/>
      <c r="AP1247" s="111"/>
      <c r="AQ1247" s="111"/>
      <c r="AR1247" s="111"/>
      <c r="AS1247" s="111"/>
      <c r="AT1247" s="111"/>
      <c r="AU1247" s="111"/>
      <c r="AV1247" s="50"/>
      <c r="AW1247" s="50"/>
      <c r="AX1247" s="50"/>
      <c r="AY1247" s="50"/>
      <c r="AZ1247" s="50"/>
      <c r="BA1247" s="50"/>
      <c r="BB1247" s="50"/>
      <c r="BC1247" s="50"/>
      <c r="BD1247" s="50"/>
      <c r="BE1247" s="50"/>
      <c r="BF1247" s="50"/>
      <c r="BG1247" s="50"/>
      <c r="BH1247" s="50"/>
      <c r="BI1247" s="50"/>
      <c r="BJ1247" s="50"/>
      <c r="BK1247" s="50"/>
      <c r="BL1247" s="50"/>
      <c r="BM1247" s="50"/>
      <c r="BN1247" s="50"/>
      <c r="BO1247" s="50"/>
      <c r="BP1247" s="50"/>
      <c r="BQ1247" s="50"/>
      <c r="BR1247" s="50"/>
      <c r="BS1247" s="111"/>
      <c r="BT1247" s="50"/>
      <c r="BU1247" s="50"/>
      <c r="BV1247" s="50"/>
      <c r="BW1247" s="50"/>
      <c r="BX1247" s="50"/>
      <c r="BY1247" s="50"/>
      <c r="BZ1247" s="50"/>
      <c r="CA1247" s="50"/>
      <c r="CB1247" s="50"/>
      <c r="CC1247" s="50"/>
      <c r="CD1247" s="50"/>
      <c r="CE1247" s="50"/>
      <c r="CF1247" s="50"/>
      <c r="CG1247" s="50"/>
      <c r="CH1247" s="50"/>
      <c r="CI1247" s="50"/>
      <c r="CJ1247" s="50"/>
      <c r="CK1247" s="50"/>
      <c r="CL1247" s="50"/>
      <c r="CM1247" s="50"/>
      <c r="CN1247" s="50"/>
      <c r="CO1247" s="50"/>
      <c r="CP1247" s="50"/>
      <c r="CQ1247" s="50"/>
      <c r="CR1247" s="50"/>
      <c r="CS1247" s="50"/>
    </row>
    <row r="1248" spans="1:97" ht="15" thickBot="1">
      <c r="A1248" s="49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111"/>
      <c r="O1248" s="111"/>
      <c r="P1248" s="111"/>
      <c r="Q1248" s="111"/>
      <c r="R1248" s="111"/>
      <c r="S1248" s="111"/>
      <c r="T1248" s="111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1"/>
      <c r="AF1248" s="111"/>
      <c r="AG1248" s="111"/>
      <c r="AH1248" s="111"/>
      <c r="AI1248" s="111"/>
      <c r="AJ1248" s="111"/>
      <c r="AK1248" s="111"/>
      <c r="AL1248" s="111"/>
      <c r="AM1248" s="111"/>
      <c r="AN1248" s="111"/>
      <c r="AO1248" s="111"/>
      <c r="AP1248" s="111"/>
      <c r="AQ1248" s="111"/>
      <c r="AR1248" s="111"/>
      <c r="AS1248" s="111"/>
      <c r="AT1248" s="111"/>
      <c r="AU1248" s="111"/>
      <c r="AV1248" s="50"/>
      <c r="AW1248" s="50"/>
      <c r="AX1248" s="50"/>
      <c r="AY1248" s="50"/>
      <c r="AZ1248" s="50"/>
      <c r="BA1248" s="50"/>
      <c r="BB1248" s="50"/>
      <c r="BC1248" s="50"/>
      <c r="BD1248" s="50"/>
      <c r="BE1248" s="50"/>
      <c r="BF1248" s="50"/>
      <c r="BG1248" s="50"/>
      <c r="BH1248" s="50"/>
      <c r="BI1248" s="50"/>
      <c r="BJ1248" s="50"/>
      <c r="BK1248" s="50"/>
      <c r="BL1248" s="50"/>
      <c r="BM1248" s="50"/>
      <c r="BN1248" s="50"/>
      <c r="BO1248" s="50"/>
      <c r="BP1248" s="50"/>
      <c r="BQ1248" s="50"/>
      <c r="BR1248" s="50"/>
      <c r="BS1248" s="111"/>
      <c r="BT1248" s="50"/>
      <c r="BU1248" s="50"/>
      <c r="BV1248" s="50"/>
      <c r="BW1248" s="50"/>
      <c r="BX1248" s="50"/>
      <c r="BY1248" s="50"/>
      <c r="BZ1248" s="50"/>
      <c r="CA1248" s="50"/>
      <c r="CB1248" s="50"/>
      <c r="CC1248" s="50"/>
      <c r="CD1248" s="50"/>
      <c r="CE1248" s="50"/>
      <c r="CF1248" s="50"/>
      <c r="CG1248" s="50"/>
      <c r="CH1248" s="50"/>
      <c r="CI1248" s="50"/>
      <c r="CJ1248" s="50"/>
      <c r="CK1248" s="50"/>
      <c r="CL1248" s="50"/>
      <c r="CM1248" s="50"/>
      <c r="CN1248" s="50"/>
      <c r="CO1248" s="50"/>
      <c r="CP1248" s="50"/>
      <c r="CQ1248" s="50"/>
      <c r="CR1248" s="50"/>
      <c r="CS1248" s="50"/>
    </row>
    <row r="1249" spans="1:97" ht="15" thickBot="1">
      <c r="A1249" s="49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111"/>
      <c r="O1249" s="111"/>
      <c r="P1249" s="111"/>
      <c r="Q1249" s="111"/>
      <c r="R1249" s="111"/>
      <c r="S1249" s="111"/>
      <c r="T1249" s="111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1"/>
      <c r="AF1249" s="111"/>
      <c r="AG1249" s="111"/>
      <c r="AH1249" s="111"/>
      <c r="AI1249" s="111"/>
      <c r="AJ1249" s="111"/>
      <c r="AK1249" s="111"/>
      <c r="AL1249" s="111"/>
      <c r="AM1249" s="111"/>
      <c r="AN1249" s="111"/>
      <c r="AO1249" s="111"/>
      <c r="AP1249" s="111"/>
      <c r="AQ1249" s="111"/>
      <c r="AR1249" s="111"/>
      <c r="AS1249" s="111"/>
      <c r="AT1249" s="111"/>
      <c r="AU1249" s="111"/>
      <c r="AV1249" s="50"/>
      <c r="AW1249" s="50"/>
      <c r="AX1249" s="50"/>
      <c r="AY1249" s="50"/>
      <c r="AZ1249" s="50"/>
      <c r="BA1249" s="50"/>
      <c r="BB1249" s="50"/>
      <c r="BC1249" s="50"/>
      <c r="BD1249" s="50"/>
      <c r="BE1249" s="50"/>
      <c r="BF1249" s="50"/>
      <c r="BG1249" s="50"/>
      <c r="BH1249" s="50"/>
      <c r="BI1249" s="50"/>
      <c r="BJ1249" s="50"/>
      <c r="BK1249" s="50"/>
      <c r="BL1249" s="50"/>
      <c r="BM1249" s="50"/>
      <c r="BN1249" s="50"/>
      <c r="BO1249" s="50"/>
      <c r="BP1249" s="50"/>
      <c r="BQ1249" s="50"/>
      <c r="BR1249" s="50"/>
      <c r="BS1249" s="111"/>
      <c r="BT1249" s="50"/>
      <c r="BU1249" s="50"/>
      <c r="BV1249" s="50"/>
      <c r="BW1249" s="50"/>
      <c r="BX1249" s="50"/>
      <c r="BY1249" s="50"/>
      <c r="BZ1249" s="50"/>
      <c r="CA1249" s="50"/>
      <c r="CB1249" s="50"/>
      <c r="CC1249" s="50"/>
      <c r="CD1249" s="50"/>
      <c r="CE1249" s="50"/>
      <c r="CF1249" s="50"/>
      <c r="CG1249" s="50"/>
      <c r="CH1249" s="50"/>
      <c r="CI1249" s="50"/>
      <c r="CJ1249" s="50"/>
      <c r="CK1249" s="50"/>
      <c r="CL1249" s="50"/>
      <c r="CM1249" s="50"/>
      <c r="CN1249" s="50"/>
      <c r="CO1249" s="50"/>
      <c r="CP1249" s="50"/>
      <c r="CQ1249" s="50"/>
      <c r="CR1249" s="50"/>
      <c r="CS1249" s="50"/>
    </row>
    <row r="1250" spans="1:97" ht="15" thickBot="1">
      <c r="A1250" s="49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111"/>
      <c r="O1250" s="111"/>
      <c r="P1250" s="111"/>
      <c r="Q1250" s="111"/>
      <c r="R1250" s="111"/>
      <c r="S1250" s="111"/>
      <c r="T1250" s="111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1"/>
      <c r="AF1250" s="111"/>
      <c r="AG1250" s="111"/>
      <c r="AH1250" s="111"/>
      <c r="AI1250" s="111"/>
      <c r="AJ1250" s="111"/>
      <c r="AK1250" s="111"/>
      <c r="AL1250" s="111"/>
      <c r="AM1250" s="111"/>
      <c r="AN1250" s="111"/>
      <c r="AO1250" s="111"/>
      <c r="AP1250" s="111"/>
      <c r="AQ1250" s="111"/>
      <c r="AR1250" s="111"/>
      <c r="AS1250" s="111"/>
      <c r="AT1250" s="111"/>
      <c r="AU1250" s="111"/>
      <c r="AV1250" s="50"/>
      <c r="AW1250" s="50"/>
      <c r="AX1250" s="50"/>
      <c r="AY1250" s="50"/>
      <c r="AZ1250" s="50"/>
      <c r="BA1250" s="50"/>
      <c r="BB1250" s="50"/>
      <c r="BC1250" s="50"/>
      <c r="BD1250" s="50"/>
      <c r="BE1250" s="50"/>
      <c r="BF1250" s="50"/>
      <c r="BG1250" s="50"/>
      <c r="BH1250" s="50"/>
      <c r="BI1250" s="50"/>
      <c r="BJ1250" s="50"/>
      <c r="BK1250" s="50"/>
      <c r="BL1250" s="50"/>
      <c r="BM1250" s="50"/>
      <c r="BN1250" s="50"/>
      <c r="BO1250" s="50"/>
      <c r="BP1250" s="50"/>
      <c r="BQ1250" s="50"/>
      <c r="BR1250" s="50"/>
      <c r="BS1250" s="111"/>
      <c r="BT1250" s="50"/>
      <c r="BU1250" s="50"/>
      <c r="BV1250" s="50"/>
      <c r="BW1250" s="50"/>
      <c r="BX1250" s="50"/>
      <c r="BY1250" s="50"/>
      <c r="BZ1250" s="50"/>
      <c r="CA1250" s="50"/>
      <c r="CB1250" s="50"/>
      <c r="CC1250" s="50"/>
      <c r="CD1250" s="50"/>
      <c r="CE1250" s="50"/>
      <c r="CF1250" s="50"/>
      <c r="CG1250" s="50"/>
      <c r="CH1250" s="50"/>
      <c r="CI1250" s="50"/>
      <c r="CJ1250" s="50"/>
      <c r="CK1250" s="50"/>
      <c r="CL1250" s="50"/>
      <c r="CM1250" s="50"/>
      <c r="CN1250" s="50"/>
      <c r="CO1250" s="50"/>
      <c r="CP1250" s="50"/>
      <c r="CQ1250" s="50"/>
      <c r="CR1250" s="50"/>
      <c r="CS1250" s="50"/>
    </row>
    <row r="1251" spans="1:97" ht="15" thickBot="1">
      <c r="A1251" s="49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111"/>
      <c r="O1251" s="111"/>
      <c r="P1251" s="111"/>
      <c r="Q1251" s="111"/>
      <c r="R1251" s="111"/>
      <c r="S1251" s="111"/>
      <c r="T1251" s="111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1"/>
      <c r="AF1251" s="111"/>
      <c r="AG1251" s="111"/>
      <c r="AH1251" s="111"/>
      <c r="AI1251" s="111"/>
      <c r="AJ1251" s="111"/>
      <c r="AK1251" s="111"/>
      <c r="AL1251" s="111"/>
      <c r="AM1251" s="111"/>
      <c r="AN1251" s="111"/>
      <c r="AO1251" s="111"/>
      <c r="AP1251" s="111"/>
      <c r="AQ1251" s="111"/>
      <c r="AR1251" s="111"/>
      <c r="AS1251" s="111"/>
      <c r="AT1251" s="111"/>
      <c r="AU1251" s="111"/>
      <c r="AV1251" s="50"/>
      <c r="AW1251" s="50"/>
      <c r="AX1251" s="50"/>
      <c r="AY1251" s="50"/>
      <c r="AZ1251" s="50"/>
      <c r="BA1251" s="50"/>
      <c r="BB1251" s="50"/>
      <c r="BC1251" s="50"/>
      <c r="BD1251" s="50"/>
      <c r="BE1251" s="50"/>
      <c r="BF1251" s="50"/>
      <c r="BG1251" s="50"/>
      <c r="BH1251" s="50"/>
      <c r="BI1251" s="50"/>
      <c r="BJ1251" s="50"/>
      <c r="BK1251" s="50"/>
      <c r="BL1251" s="50"/>
      <c r="BM1251" s="50"/>
      <c r="BN1251" s="50"/>
      <c r="BO1251" s="50"/>
      <c r="BP1251" s="50"/>
      <c r="BQ1251" s="50"/>
      <c r="BR1251" s="50"/>
      <c r="BS1251" s="111"/>
      <c r="BT1251" s="50"/>
      <c r="BU1251" s="50"/>
      <c r="BV1251" s="50"/>
      <c r="BW1251" s="50"/>
      <c r="BX1251" s="50"/>
      <c r="BY1251" s="50"/>
      <c r="BZ1251" s="50"/>
      <c r="CA1251" s="50"/>
      <c r="CB1251" s="50"/>
      <c r="CC1251" s="50"/>
      <c r="CD1251" s="50"/>
      <c r="CE1251" s="50"/>
      <c r="CF1251" s="50"/>
      <c r="CG1251" s="50"/>
      <c r="CH1251" s="50"/>
      <c r="CI1251" s="50"/>
      <c r="CJ1251" s="50"/>
      <c r="CK1251" s="50"/>
      <c r="CL1251" s="50"/>
      <c r="CM1251" s="50"/>
      <c r="CN1251" s="50"/>
      <c r="CO1251" s="50"/>
      <c r="CP1251" s="50"/>
      <c r="CQ1251" s="50"/>
      <c r="CR1251" s="50"/>
      <c r="CS1251" s="50"/>
    </row>
    <row r="1252" spans="1:97" ht="15" thickBot="1">
      <c r="A1252" s="49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111"/>
      <c r="O1252" s="111"/>
      <c r="P1252" s="111"/>
      <c r="Q1252" s="111"/>
      <c r="R1252" s="111"/>
      <c r="S1252" s="111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1"/>
      <c r="AF1252" s="111"/>
      <c r="AG1252" s="111"/>
      <c r="AH1252" s="111"/>
      <c r="AI1252" s="111"/>
      <c r="AJ1252" s="111"/>
      <c r="AK1252" s="111"/>
      <c r="AL1252" s="111"/>
      <c r="AM1252" s="111"/>
      <c r="AN1252" s="111"/>
      <c r="AO1252" s="111"/>
      <c r="AP1252" s="111"/>
      <c r="AQ1252" s="111"/>
      <c r="AR1252" s="111"/>
      <c r="AS1252" s="111"/>
      <c r="AT1252" s="111"/>
      <c r="AU1252" s="111"/>
      <c r="AV1252" s="50"/>
      <c r="AW1252" s="50"/>
      <c r="AX1252" s="50"/>
      <c r="AY1252" s="50"/>
      <c r="AZ1252" s="50"/>
      <c r="BA1252" s="50"/>
      <c r="BB1252" s="50"/>
      <c r="BC1252" s="50"/>
      <c r="BD1252" s="50"/>
      <c r="BE1252" s="50"/>
      <c r="BF1252" s="50"/>
      <c r="BG1252" s="50"/>
      <c r="BH1252" s="50"/>
      <c r="BI1252" s="50"/>
      <c r="BJ1252" s="50"/>
      <c r="BK1252" s="50"/>
      <c r="BL1252" s="50"/>
      <c r="BM1252" s="50"/>
      <c r="BN1252" s="50"/>
      <c r="BO1252" s="50"/>
      <c r="BP1252" s="50"/>
      <c r="BQ1252" s="50"/>
      <c r="BR1252" s="50"/>
      <c r="BS1252" s="111"/>
      <c r="BT1252" s="50"/>
      <c r="BU1252" s="50"/>
      <c r="BV1252" s="50"/>
      <c r="BW1252" s="50"/>
      <c r="BX1252" s="50"/>
      <c r="BY1252" s="50"/>
      <c r="BZ1252" s="50"/>
      <c r="CA1252" s="50"/>
      <c r="CB1252" s="50"/>
      <c r="CC1252" s="50"/>
      <c r="CD1252" s="50"/>
      <c r="CE1252" s="50"/>
      <c r="CF1252" s="50"/>
      <c r="CG1252" s="50"/>
      <c r="CH1252" s="50"/>
      <c r="CI1252" s="50"/>
      <c r="CJ1252" s="50"/>
      <c r="CK1252" s="50"/>
      <c r="CL1252" s="50"/>
      <c r="CM1252" s="50"/>
      <c r="CN1252" s="50"/>
      <c r="CO1252" s="50"/>
      <c r="CP1252" s="50"/>
      <c r="CQ1252" s="50"/>
      <c r="CR1252" s="50"/>
      <c r="CS1252" s="50"/>
    </row>
    <row r="1253" spans="1:97" ht="15" thickBot="1">
      <c r="A1253" s="49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111"/>
      <c r="O1253" s="111"/>
      <c r="P1253" s="111"/>
      <c r="Q1253" s="111"/>
      <c r="R1253" s="111"/>
      <c r="S1253" s="111"/>
      <c r="T1253" s="111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1"/>
      <c r="AF1253" s="111"/>
      <c r="AG1253" s="111"/>
      <c r="AH1253" s="111"/>
      <c r="AI1253" s="111"/>
      <c r="AJ1253" s="111"/>
      <c r="AK1253" s="111"/>
      <c r="AL1253" s="111"/>
      <c r="AM1253" s="111"/>
      <c r="AN1253" s="111"/>
      <c r="AO1253" s="111"/>
      <c r="AP1253" s="111"/>
      <c r="AQ1253" s="111"/>
      <c r="AR1253" s="111"/>
      <c r="AS1253" s="111"/>
      <c r="AT1253" s="111"/>
      <c r="AU1253" s="111"/>
      <c r="AV1253" s="50"/>
      <c r="AW1253" s="50"/>
      <c r="AX1253" s="50"/>
      <c r="AY1253" s="50"/>
      <c r="AZ1253" s="50"/>
      <c r="BA1253" s="50"/>
      <c r="BB1253" s="50"/>
      <c r="BC1253" s="50"/>
      <c r="BD1253" s="50"/>
      <c r="BE1253" s="50"/>
      <c r="BF1253" s="50"/>
      <c r="BG1253" s="50"/>
      <c r="BH1253" s="50"/>
      <c r="BI1253" s="50"/>
      <c r="BJ1253" s="50"/>
      <c r="BK1253" s="50"/>
      <c r="BL1253" s="50"/>
      <c r="BM1253" s="50"/>
      <c r="BN1253" s="50"/>
      <c r="BO1253" s="50"/>
      <c r="BP1253" s="50"/>
      <c r="BQ1253" s="50"/>
      <c r="BR1253" s="50"/>
      <c r="BS1253" s="111"/>
      <c r="BT1253" s="50"/>
      <c r="BU1253" s="50"/>
      <c r="BV1253" s="50"/>
      <c r="BW1253" s="50"/>
      <c r="BX1253" s="50"/>
      <c r="BY1253" s="50"/>
      <c r="BZ1253" s="50"/>
      <c r="CA1253" s="50"/>
      <c r="CB1253" s="50"/>
      <c r="CC1253" s="50"/>
      <c r="CD1253" s="50"/>
      <c r="CE1253" s="50"/>
      <c r="CF1253" s="50"/>
      <c r="CG1253" s="50"/>
      <c r="CH1253" s="50"/>
      <c r="CI1253" s="50"/>
      <c r="CJ1253" s="50"/>
      <c r="CK1253" s="50"/>
      <c r="CL1253" s="50"/>
      <c r="CM1253" s="50"/>
      <c r="CN1253" s="50"/>
      <c r="CO1253" s="50"/>
      <c r="CP1253" s="50"/>
      <c r="CQ1253" s="50"/>
      <c r="CR1253" s="50"/>
      <c r="CS1253" s="50"/>
    </row>
    <row r="1254" spans="1:97" ht="15" thickBot="1">
      <c r="A1254" s="49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111"/>
      <c r="O1254" s="111"/>
      <c r="P1254" s="111"/>
      <c r="Q1254" s="111"/>
      <c r="R1254" s="111"/>
      <c r="S1254" s="111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1"/>
      <c r="AF1254" s="111"/>
      <c r="AG1254" s="111"/>
      <c r="AH1254" s="111"/>
      <c r="AI1254" s="111"/>
      <c r="AJ1254" s="111"/>
      <c r="AK1254" s="111"/>
      <c r="AL1254" s="111"/>
      <c r="AM1254" s="111"/>
      <c r="AN1254" s="111"/>
      <c r="AO1254" s="111"/>
      <c r="AP1254" s="111"/>
      <c r="AQ1254" s="111"/>
      <c r="AR1254" s="111"/>
      <c r="AS1254" s="111"/>
      <c r="AT1254" s="111"/>
      <c r="AU1254" s="111"/>
      <c r="AV1254" s="50"/>
      <c r="AW1254" s="50"/>
      <c r="AX1254" s="50"/>
      <c r="AY1254" s="50"/>
      <c r="AZ1254" s="50"/>
      <c r="BA1254" s="50"/>
      <c r="BB1254" s="50"/>
      <c r="BC1254" s="50"/>
      <c r="BD1254" s="50"/>
      <c r="BE1254" s="50"/>
      <c r="BF1254" s="50"/>
      <c r="BG1254" s="50"/>
      <c r="BH1254" s="50"/>
      <c r="BI1254" s="50"/>
      <c r="BJ1254" s="50"/>
      <c r="BK1254" s="50"/>
      <c r="BL1254" s="50"/>
      <c r="BM1254" s="50"/>
      <c r="BN1254" s="50"/>
      <c r="BO1254" s="50"/>
      <c r="BP1254" s="50"/>
      <c r="BQ1254" s="50"/>
      <c r="BR1254" s="50"/>
      <c r="BS1254" s="111"/>
      <c r="BT1254" s="50"/>
      <c r="BU1254" s="50"/>
      <c r="BV1254" s="50"/>
      <c r="BW1254" s="50"/>
      <c r="BX1254" s="50"/>
      <c r="BY1254" s="50"/>
      <c r="BZ1254" s="50"/>
      <c r="CA1254" s="50"/>
      <c r="CB1254" s="50"/>
      <c r="CC1254" s="50"/>
      <c r="CD1254" s="50"/>
      <c r="CE1254" s="50"/>
      <c r="CF1254" s="50"/>
      <c r="CG1254" s="50"/>
      <c r="CH1254" s="50"/>
      <c r="CI1254" s="50"/>
      <c r="CJ1254" s="50"/>
      <c r="CK1254" s="50"/>
      <c r="CL1254" s="50"/>
      <c r="CM1254" s="50"/>
      <c r="CN1254" s="50"/>
      <c r="CO1254" s="50"/>
      <c r="CP1254" s="50"/>
      <c r="CQ1254" s="50"/>
      <c r="CR1254" s="50"/>
      <c r="CS1254" s="50"/>
    </row>
    <row r="1255" spans="1:97" ht="15" thickBot="1">
      <c r="A1255" s="49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111"/>
      <c r="O1255" s="111"/>
      <c r="P1255" s="111"/>
      <c r="Q1255" s="111"/>
      <c r="R1255" s="111"/>
      <c r="S1255" s="111"/>
      <c r="T1255" s="111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1"/>
      <c r="AF1255" s="111"/>
      <c r="AG1255" s="111"/>
      <c r="AH1255" s="111"/>
      <c r="AI1255" s="111"/>
      <c r="AJ1255" s="111"/>
      <c r="AK1255" s="111"/>
      <c r="AL1255" s="111"/>
      <c r="AM1255" s="111"/>
      <c r="AN1255" s="111"/>
      <c r="AO1255" s="111"/>
      <c r="AP1255" s="111"/>
      <c r="AQ1255" s="111"/>
      <c r="AR1255" s="111"/>
      <c r="AS1255" s="111"/>
      <c r="AT1255" s="111"/>
      <c r="AU1255" s="111"/>
      <c r="AV1255" s="50"/>
      <c r="AW1255" s="50"/>
      <c r="AX1255" s="50"/>
      <c r="AY1255" s="50"/>
      <c r="AZ1255" s="50"/>
      <c r="BA1255" s="50"/>
      <c r="BB1255" s="50"/>
      <c r="BC1255" s="50"/>
      <c r="BD1255" s="50"/>
      <c r="BE1255" s="50"/>
      <c r="BF1255" s="50"/>
      <c r="BG1255" s="50"/>
      <c r="BH1255" s="50"/>
      <c r="BI1255" s="50"/>
      <c r="BJ1255" s="50"/>
      <c r="BK1255" s="50"/>
      <c r="BL1255" s="50"/>
      <c r="BM1255" s="50"/>
      <c r="BN1255" s="50"/>
      <c r="BO1255" s="50"/>
      <c r="BP1255" s="50"/>
      <c r="BQ1255" s="50"/>
      <c r="BR1255" s="50"/>
      <c r="BS1255" s="111"/>
      <c r="BT1255" s="50"/>
      <c r="BU1255" s="50"/>
      <c r="BV1255" s="50"/>
      <c r="BW1255" s="50"/>
      <c r="BX1255" s="50"/>
      <c r="BY1255" s="50"/>
      <c r="BZ1255" s="50"/>
      <c r="CA1255" s="50"/>
      <c r="CB1255" s="50"/>
      <c r="CC1255" s="50"/>
      <c r="CD1255" s="50"/>
      <c r="CE1255" s="50"/>
      <c r="CF1255" s="50"/>
      <c r="CG1255" s="50"/>
      <c r="CH1255" s="50"/>
      <c r="CI1255" s="50"/>
      <c r="CJ1255" s="50"/>
      <c r="CK1255" s="50"/>
      <c r="CL1255" s="50"/>
      <c r="CM1255" s="50"/>
      <c r="CN1255" s="50"/>
      <c r="CO1255" s="50"/>
      <c r="CP1255" s="50"/>
      <c r="CQ1255" s="50"/>
      <c r="CR1255" s="50"/>
      <c r="CS1255" s="50"/>
    </row>
    <row r="1256" spans="1:97" ht="15" thickBot="1">
      <c r="A1256" s="49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111"/>
      <c r="AJ1256" s="111"/>
      <c r="AK1256" s="111"/>
      <c r="AL1256" s="111"/>
      <c r="AM1256" s="111"/>
      <c r="AN1256" s="111"/>
      <c r="AO1256" s="111"/>
      <c r="AP1256" s="111"/>
      <c r="AQ1256" s="111"/>
      <c r="AR1256" s="111"/>
      <c r="AS1256" s="111"/>
      <c r="AT1256" s="111"/>
      <c r="AU1256" s="111"/>
      <c r="AV1256" s="50"/>
      <c r="AW1256" s="50"/>
      <c r="AX1256" s="50"/>
      <c r="AY1256" s="50"/>
      <c r="AZ1256" s="50"/>
      <c r="BA1256" s="50"/>
      <c r="BB1256" s="50"/>
      <c r="BC1256" s="50"/>
      <c r="BD1256" s="50"/>
      <c r="BE1256" s="50"/>
      <c r="BF1256" s="50"/>
      <c r="BG1256" s="50"/>
      <c r="BH1256" s="50"/>
      <c r="BI1256" s="50"/>
      <c r="BJ1256" s="50"/>
      <c r="BK1256" s="50"/>
      <c r="BL1256" s="50"/>
      <c r="BM1256" s="50"/>
      <c r="BN1256" s="50"/>
      <c r="BO1256" s="50"/>
      <c r="BP1256" s="50"/>
      <c r="BQ1256" s="50"/>
      <c r="BR1256" s="50"/>
      <c r="BS1256" s="111"/>
      <c r="BT1256" s="50"/>
      <c r="BU1256" s="50"/>
      <c r="BV1256" s="50"/>
      <c r="BW1256" s="50"/>
      <c r="BX1256" s="50"/>
      <c r="BY1256" s="50"/>
      <c r="BZ1256" s="50"/>
      <c r="CA1256" s="50"/>
      <c r="CB1256" s="50"/>
      <c r="CC1256" s="50"/>
      <c r="CD1256" s="50"/>
      <c r="CE1256" s="50"/>
      <c r="CF1256" s="50"/>
      <c r="CG1256" s="50"/>
      <c r="CH1256" s="50"/>
      <c r="CI1256" s="50"/>
      <c r="CJ1256" s="50"/>
      <c r="CK1256" s="50"/>
      <c r="CL1256" s="50"/>
      <c r="CM1256" s="50"/>
      <c r="CN1256" s="50"/>
      <c r="CO1256" s="50"/>
      <c r="CP1256" s="50"/>
      <c r="CQ1256" s="50"/>
      <c r="CR1256" s="50"/>
      <c r="CS1256" s="50"/>
    </row>
    <row r="1257" spans="1:97" ht="15" thickBot="1">
      <c r="A1257" s="49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111"/>
      <c r="O1257" s="111"/>
      <c r="P1257" s="111"/>
      <c r="Q1257" s="111"/>
      <c r="R1257" s="111"/>
      <c r="S1257" s="111"/>
      <c r="T1257" s="111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1"/>
      <c r="AF1257" s="111"/>
      <c r="AG1257" s="111"/>
      <c r="AH1257" s="111"/>
      <c r="AI1257" s="111"/>
      <c r="AJ1257" s="111"/>
      <c r="AK1257" s="111"/>
      <c r="AL1257" s="111"/>
      <c r="AM1257" s="111"/>
      <c r="AN1257" s="111"/>
      <c r="AO1257" s="111"/>
      <c r="AP1257" s="111"/>
      <c r="AQ1257" s="111"/>
      <c r="AR1257" s="111"/>
      <c r="AS1257" s="111"/>
      <c r="AT1257" s="111"/>
      <c r="AU1257" s="111"/>
      <c r="AV1257" s="50"/>
      <c r="AW1257" s="50"/>
      <c r="AX1257" s="50"/>
      <c r="AY1257" s="50"/>
      <c r="AZ1257" s="50"/>
      <c r="BA1257" s="50"/>
      <c r="BB1257" s="50"/>
      <c r="BC1257" s="50"/>
      <c r="BD1257" s="50"/>
      <c r="BE1257" s="50"/>
      <c r="BF1257" s="50"/>
      <c r="BG1257" s="50"/>
      <c r="BH1257" s="50"/>
      <c r="BI1257" s="50"/>
      <c r="BJ1257" s="50"/>
      <c r="BK1257" s="50"/>
      <c r="BL1257" s="50"/>
      <c r="BM1257" s="50"/>
      <c r="BN1257" s="50"/>
      <c r="BO1257" s="50"/>
      <c r="BP1257" s="50"/>
      <c r="BQ1257" s="50"/>
      <c r="BR1257" s="50"/>
      <c r="BS1257" s="111"/>
      <c r="BT1257" s="50"/>
      <c r="BU1257" s="50"/>
      <c r="BV1257" s="50"/>
      <c r="BW1257" s="50"/>
      <c r="BX1257" s="50"/>
      <c r="BY1257" s="50"/>
      <c r="BZ1257" s="50"/>
      <c r="CA1257" s="50"/>
      <c r="CB1257" s="50"/>
      <c r="CC1257" s="50"/>
      <c r="CD1257" s="50"/>
      <c r="CE1257" s="50"/>
      <c r="CF1257" s="50"/>
      <c r="CG1257" s="50"/>
      <c r="CH1257" s="50"/>
      <c r="CI1257" s="50"/>
      <c r="CJ1257" s="50"/>
      <c r="CK1257" s="50"/>
      <c r="CL1257" s="50"/>
      <c r="CM1257" s="50"/>
      <c r="CN1257" s="50"/>
      <c r="CO1257" s="50"/>
      <c r="CP1257" s="50"/>
      <c r="CQ1257" s="50"/>
      <c r="CR1257" s="50"/>
      <c r="CS1257" s="50"/>
    </row>
    <row r="1258" spans="1:97" ht="15" thickBot="1">
      <c r="A1258" s="49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111"/>
      <c r="O1258" s="111"/>
      <c r="P1258" s="111"/>
      <c r="Q1258" s="111"/>
      <c r="R1258" s="111"/>
      <c r="S1258" s="111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1"/>
      <c r="AF1258" s="111"/>
      <c r="AG1258" s="111"/>
      <c r="AH1258" s="111"/>
      <c r="AI1258" s="111"/>
      <c r="AJ1258" s="111"/>
      <c r="AK1258" s="111"/>
      <c r="AL1258" s="111"/>
      <c r="AM1258" s="111"/>
      <c r="AN1258" s="111"/>
      <c r="AO1258" s="111"/>
      <c r="AP1258" s="111"/>
      <c r="AQ1258" s="111"/>
      <c r="AR1258" s="111"/>
      <c r="AS1258" s="111"/>
      <c r="AT1258" s="111"/>
      <c r="AU1258" s="111"/>
      <c r="AV1258" s="50"/>
      <c r="AW1258" s="50"/>
      <c r="AX1258" s="50"/>
      <c r="AY1258" s="50"/>
      <c r="AZ1258" s="50"/>
      <c r="BA1258" s="50"/>
      <c r="BB1258" s="50"/>
      <c r="BC1258" s="50"/>
      <c r="BD1258" s="50"/>
      <c r="BE1258" s="50"/>
      <c r="BF1258" s="50"/>
      <c r="BG1258" s="50"/>
      <c r="BH1258" s="50"/>
      <c r="BI1258" s="50"/>
      <c r="BJ1258" s="50"/>
      <c r="BK1258" s="50"/>
      <c r="BL1258" s="50"/>
      <c r="BM1258" s="50"/>
      <c r="BN1258" s="50"/>
      <c r="BO1258" s="50"/>
      <c r="BP1258" s="50"/>
      <c r="BQ1258" s="50"/>
      <c r="BR1258" s="50"/>
      <c r="BS1258" s="111"/>
      <c r="BT1258" s="50"/>
      <c r="BU1258" s="50"/>
      <c r="BV1258" s="50"/>
      <c r="BW1258" s="50"/>
      <c r="BX1258" s="50"/>
      <c r="BY1258" s="50"/>
      <c r="BZ1258" s="50"/>
      <c r="CA1258" s="50"/>
      <c r="CB1258" s="50"/>
      <c r="CC1258" s="50"/>
      <c r="CD1258" s="50"/>
      <c r="CE1258" s="50"/>
      <c r="CF1258" s="50"/>
      <c r="CG1258" s="50"/>
      <c r="CH1258" s="50"/>
      <c r="CI1258" s="50"/>
      <c r="CJ1258" s="50"/>
      <c r="CK1258" s="50"/>
      <c r="CL1258" s="50"/>
      <c r="CM1258" s="50"/>
      <c r="CN1258" s="50"/>
      <c r="CO1258" s="50"/>
      <c r="CP1258" s="50"/>
      <c r="CQ1258" s="50"/>
      <c r="CR1258" s="50"/>
      <c r="CS1258" s="50"/>
    </row>
    <row r="1259" spans="1:97" ht="15" thickBot="1">
      <c r="A1259" s="49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111"/>
      <c r="O1259" s="111"/>
      <c r="P1259" s="111"/>
      <c r="Q1259" s="111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1"/>
      <c r="AF1259" s="111"/>
      <c r="AG1259" s="111"/>
      <c r="AH1259" s="111"/>
      <c r="AI1259" s="111"/>
      <c r="AJ1259" s="111"/>
      <c r="AK1259" s="111"/>
      <c r="AL1259" s="111"/>
      <c r="AM1259" s="111"/>
      <c r="AN1259" s="111"/>
      <c r="AO1259" s="111"/>
      <c r="AP1259" s="111"/>
      <c r="AQ1259" s="111"/>
      <c r="AR1259" s="111"/>
      <c r="AS1259" s="111"/>
      <c r="AT1259" s="111"/>
      <c r="AU1259" s="111"/>
      <c r="AV1259" s="50"/>
      <c r="AW1259" s="50"/>
      <c r="AX1259" s="50"/>
      <c r="AY1259" s="50"/>
      <c r="AZ1259" s="50"/>
      <c r="BA1259" s="50"/>
      <c r="BB1259" s="50"/>
      <c r="BC1259" s="50"/>
      <c r="BD1259" s="50"/>
      <c r="BE1259" s="50"/>
      <c r="BF1259" s="50"/>
      <c r="BG1259" s="50"/>
      <c r="BH1259" s="50"/>
      <c r="BI1259" s="50"/>
      <c r="BJ1259" s="50"/>
      <c r="BK1259" s="50"/>
      <c r="BL1259" s="50"/>
      <c r="BM1259" s="50"/>
      <c r="BN1259" s="50"/>
      <c r="BO1259" s="50"/>
      <c r="BP1259" s="50"/>
      <c r="BQ1259" s="50"/>
      <c r="BR1259" s="50"/>
      <c r="BS1259" s="111"/>
      <c r="BT1259" s="50"/>
      <c r="BU1259" s="50"/>
      <c r="BV1259" s="50"/>
      <c r="BW1259" s="50"/>
      <c r="BX1259" s="50"/>
      <c r="BY1259" s="50"/>
      <c r="BZ1259" s="50"/>
      <c r="CA1259" s="50"/>
      <c r="CB1259" s="50"/>
      <c r="CC1259" s="50"/>
      <c r="CD1259" s="50"/>
      <c r="CE1259" s="50"/>
      <c r="CF1259" s="50"/>
      <c r="CG1259" s="50"/>
      <c r="CH1259" s="50"/>
      <c r="CI1259" s="50"/>
      <c r="CJ1259" s="50"/>
      <c r="CK1259" s="50"/>
      <c r="CL1259" s="50"/>
      <c r="CM1259" s="50"/>
      <c r="CN1259" s="50"/>
      <c r="CO1259" s="50"/>
      <c r="CP1259" s="50"/>
      <c r="CQ1259" s="50"/>
      <c r="CR1259" s="50"/>
      <c r="CS1259" s="50"/>
    </row>
    <row r="1260" spans="1:97" ht="15" thickBot="1">
      <c r="A1260" s="49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111"/>
      <c r="O1260" s="111"/>
      <c r="P1260" s="111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1"/>
      <c r="AF1260" s="111"/>
      <c r="AG1260" s="111"/>
      <c r="AH1260" s="111"/>
      <c r="AI1260" s="111"/>
      <c r="AJ1260" s="111"/>
      <c r="AK1260" s="111"/>
      <c r="AL1260" s="111"/>
      <c r="AM1260" s="111"/>
      <c r="AN1260" s="111"/>
      <c r="AO1260" s="111"/>
      <c r="AP1260" s="111"/>
      <c r="AQ1260" s="111"/>
      <c r="AR1260" s="111"/>
      <c r="AS1260" s="111"/>
      <c r="AT1260" s="111"/>
      <c r="AU1260" s="111"/>
      <c r="AV1260" s="50"/>
      <c r="AW1260" s="50"/>
      <c r="AX1260" s="50"/>
      <c r="AY1260" s="50"/>
      <c r="AZ1260" s="50"/>
      <c r="BA1260" s="50"/>
      <c r="BB1260" s="50"/>
      <c r="BC1260" s="50"/>
      <c r="BD1260" s="50"/>
      <c r="BE1260" s="50"/>
      <c r="BF1260" s="50"/>
      <c r="BG1260" s="50"/>
      <c r="BH1260" s="50"/>
      <c r="BI1260" s="50"/>
      <c r="BJ1260" s="50"/>
      <c r="BK1260" s="50"/>
      <c r="BL1260" s="50"/>
      <c r="BM1260" s="50"/>
      <c r="BN1260" s="50"/>
      <c r="BO1260" s="50"/>
      <c r="BP1260" s="50"/>
      <c r="BQ1260" s="50"/>
      <c r="BR1260" s="50"/>
      <c r="BS1260" s="111"/>
      <c r="BT1260" s="50"/>
      <c r="BU1260" s="50"/>
      <c r="BV1260" s="50"/>
      <c r="BW1260" s="50"/>
      <c r="BX1260" s="50"/>
      <c r="BY1260" s="50"/>
      <c r="BZ1260" s="50"/>
      <c r="CA1260" s="50"/>
      <c r="CB1260" s="50"/>
      <c r="CC1260" s="50"/>
      <c r="CD1260" s="50"/>
      <c r="CE1260" s="50"/>
      <c r="CF1260" s="50"/>
      <c r="CG1260" s="50"/>
      <c r="CH1260" s="50"/>
      <c r="CI1260" s="50"/>
      <c r="CJ1260" s="50"/>
      <c r="CK1260" s="50"/>
      <c r="CL1260" s="50"/>
      <c r="CM1260" s="50"/>
      <c r="CN1260" s="50"/>
      <c r="CO1260" s="50"/>
      <c r="CP1260" s="50"/>
      <c r="CQ1260" s="50"/>
      <c r="CR1260" s="50"/>
      <c r="CS1260" s="50"/>
    </row>
    <row r="1261" spans="1:97" ht="15" thickBot="1">
      <c r="A1261" s="49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111"/>
      <c r="O1261" s="111"/>
      <c r="P1261" s="111"/>
      <c r="Q1261" s="111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1"/>
      <c r="AF1261" s="111"/>
      <c r="AG1261" s="111"/>
      <c r="AH1261" s="111"/>
      <c r="AI1261" s="111"/>
      <c r="AJ1261" s="111"/>
      <c r="AK1261" s="111"/>
      <c r="AL1261" s="111"/>
      <c r="AM1261" s="111"/>
      <c r="AN1261" s="111"/>
      <c r="AO1261" s="111"/>
      <c r="AP1261" s="111"/>
      <c r="AQ1261" s="111"/>
      <c r="AR1261" s="111"/>
      <c r="AS1261" s="111"/>
      <c r="AT1261" s="111"/>
      <c r="AU1261" s="111"/>
      <c r="AV1261" s="50"/>
      <c r="AW1261" s="50"/>
      <c r="AX1261" s="50"/>
      <c r="AY1261" s="50"/>
      <c r="AZ1261" s="50"/>
      <c r="BA1261" s="50"/>
      <c r="BB1261" s="50"/>
      <c r="BC1261" s="50"/>
      <c r="BD1261" s="50"/>
      <c r="BE1261" s="50"/>
      <c r="BF1261" s="50"/>
      <c r="BG1261" s="50"/>
      <c r="BH1261" s="50"/>
      <c r="BI1261" s="50"/>
      <c r="BJ1261" s="50"/>
      <c r="BK1261" s="50"/>
      <c r="BL1261" s="50"/>
      <c r="BM1261" s="50"/>
      <c r="BN1261" s="50"/>
      <c r="BO1261" s="50"/>
      <c r="BP1261" s="50"/>
      <c r="BQ1261" s="50"/>
      <c r="BR1261" s="50"/>
      <c r="BS1261" s="111"/>
      <c r="BT1261" s="50"/>
      <c r="BU1261" s="50"/>
      <c r="BV1261" s="50"/>
      <c r="BW1261" s="50"/>
      <c r="BX1261" s="50"/>
      <c r="BY1261" s="50"/>
      <c r="BZ1261" s="50"/>
      <c r="CA1261" s="50"/>
      <c r="CB1261" s="50"/>
      <c r="CC1261" s="50"/>
      <c r="CD1261" s="50"/>
      <c r="CE1261" s="50"/>
      <c r="CF1261" s="50"/>
      <c r="CG1261" s="50"/>
      <c r="CH1261" s="50"/>
      <c r="CI1261" s="50"/>
      <c r="CJ1261" s="50"/>
      <c r="CK1261" s="50"/>
      <c r="CL1261" s="50"/>
      <c r="CM1261" s="50"/>
      <c r="CN1261" s="50"/>
      <c r="CO1261" s="50"/>
      <c r="CP1261" s="50"/>
      <c r="CQ1261" s="50"/>
      <c r="CR1261" s="50"/>
      <c r="CS1261" s="50"/>
    </row>
    <row r="1262" spans="1:97" ht="15" thickBot="1">
      <c r="A1262" s="49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111"/>
      <c r="O1262" s="111"/>
      <c r="P1262" s="111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1"/>
      <c r="AF1262" s="111"/>
      <c r="AG1262" s="111"/>
      <c r="AH1262" s="111"/>
      <c r="AI1262" s="111"/>
      <c r="AJ1262" s="111"/>
      <c r="AK1262" s="111"/>
      <c r="AL1262" s="111"/>
      <c r="AM1262" s="111"/>
      <c r="AN1262" s="111"/>
      <c r="AO1262" s="111"/>
      <c r="AP1262" s="111"/>
      <c r="AQ1262" s="111"/>
      <c r="AR1262" s="111"/>
      <c r="AS1262" s="111"/>
      <c r="AT1262" s="111"/>
      <c r="AU1262" s="111"/>
      <c r="AV1262" s="50"/>
      <c r="AW1262" s="50"/>
      <c r="AX1262" s="50"/>
      <c r="AY1262" s="50"/>
      <c r="AZ1262" s="50"/>
      <c r="BA1262" s="50"/>
      <c r="BB1262" s="50"/>
      <c r="BC1262" s="50"/>
      <c r="BD1262" s="50"/>
      <c r="BE1262" s="50"/>
      <c r="BF1262" s="50"/>
      <c r="BG1262" s="50"/>
      <c r="BH1262" s="50"/>
      <c r="BI1262" s="50"/>
      <c r="BJ1262" s="50"/>
      <c r="BK1262" s="50"/>
      <c r="BL1262" s="50"/>
      <c r="BM1262" s="50"/>
      <c r="BN1262" s="50"/>
      <c r="BO1262" s="50"/>
      <c r="BP1262" s="50"/>
      <c r="BQ1262" s="50"/>
      <c r="BR1262" s="50"/>
      <c r="BS1262" s="111"/>
      <c r="BT1262" s="50"/>
      <c r="BU1262" s="50"/>
      <c r="BV1262" s="50"/>
      <c r="BW1262" s="50"/>
      <c r="BX1262" s="50"/>
      <c r="BY1262" s="50"/>
      <c r="BZ1262" s="50"/>
      <c r="CA1262" s="50"/>
      <c r="CB1262" s="50"/>
      <c r="CC1262" s="50"/>
      <c r="CD1262" s="50"/>
      <c r="CE1262" s="50"/>
      <c r="CF1262" s="50"/>
      <c r="CG1262" s="50"/>
      <c r="CH1262" s="50"/>
      <c r="CI1262" s="50"/>
      <c r="CJ1262" s="50"/>
      <c r="CK1262" s="50"/>
      <c r="CL1262" s="50"/>
      <c r="CM1262" s="50"/>
      <c r="CN1262" s="50"/>
      <c r="CO1262" s="50"/>
      <c r="CP1262" s="50"/>
      <c r="CQ1262" s="50"/>
      <c r="CR1262" s="50"/>
      <c r="CS1262" s="50"/>
    </row>
    <row r="1263" spans="1:97" ht="15" thickBot="1">
      <c r="A1263" s="49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111"/>
      <c r="O1263" s="111"/>
      <c r="P1263" s="111"/>
      <c r="Q1263" s="111"/>
      <c r="R1263" s="111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1"/>
      <c r="AF1263" s="111"/>
      <c r="AG1263" s="111"/>
      <c r="AH1263" s="111"/>
      <c r="AI1263" s="111"/>
      <c r="AJ1263" s="111"/>
      <c r="AK1263" s="111"/>
      <c r="AL1263" s="111"/>
      <c r="AM1263" s="111"/>
      <c r="AN1263" s="111"/>
      <c r="AO1263" s="111"/>
      <c r="AP1263" s="111"/>
      <c r="AQ1263" s="111"/>
      <c r="AR1263" s="111"/>
      <c r="AS1263" s="111"/>
      <c r="AT1263" s="111"/>
      <c r="AU1263" s="111"/>
      <c r="AV1263" s="50"/>
      <c r="AW1263" s="50"/>
      <c r="AX1263" s="50"/>
      <c r="AY1263" s="50"/>
      <c r="AZ1263" s="50"/>
      <c r="BA1263" s="50"/>
      <c r="BB1263" s="50"/>
      <c r="BC1263" s="50"/>
      <c r="BD1263" s="50"/>
      <c r="BE1263" s="50"/>
      <c r="BF1263" s="50"/>
      <c r="BG1263" s="50"/>
      <c r="BH1263" s="50"/>
      <c r="BI1263" s="50"/>
      <c r="BJ1263" s="50"/>
      <c r="BK1263" s="50"/>
      <c r="BL1263" s="50"/>
      <c r="BM1263" s="50"/>
      <c r="BN1263" s="50"/>
      <c r="BO1263" s="50"/>
      <c r="BP1263" s="50"/>
      <c r="BQ1263" s="50"/>
      <c r="BR1263" s="50"/>
      <c r="BS1263" s="111"/>
      <c r="BT1263" s="50"/>
      <c r="BU1263" s="50"/>
      <c r="BV1263" s="50"/>
      <c r="BW1263" s="50"/>
      <c r="BX1263" s="50"/>
      <c r="BY1263" s="50"/>
      <c r="BZ1263" s="50"/>
      <c r="CA1263" s="50"/>
      <c r="CB1263" s="50"/>
      <c r="CC1263" s="50"/>
      <c r="CD1263" s="50"/>
      <c r="CE1263" s="50"/>
      <c r="CF1263" s="50"/>
      <c r="CG1263" s="50"/>
      <c r="CH1263" s="50"/>
      <c r="CI1263" s="50"/>
      <c r="CJ1263" s="50"/>
      <c r="CK1263" s="50"/>
      <c r="CL1263" s="50"/>
      <c r="CM1263" s="50"/>
      <c r="CN1263" s="50"/>
      <c r="CO1263" s="50"/>
      <c r="CP1263" s="50"/>
      <c r="CQ1263" s="50"/>
      <c r="CR1263" s="50"/>
      <c r="CS1263" s="50"/>
    </row>
    <row r="1264" spans="1:97" ht="15" thickBot="1">
      <c r="A1264" s="49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111"/>
      <c r="O1264" s="111"/>
      <c r="P1264" s="111"/>
      <c r="Q1264" s="111"/>
      <c r="R1264" s="111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1"/>
      <c r="AF1264" s="111"/>
      <c r="AG1264" s="111"/>
      <c r="AH1264" s="111"/>
      <c r="AI1264" s="111"/>
      <c r="AJ1264" s="111"/>
      <c r="AK1264" s="111"/>
      <c r="AL1264" s="111"/>
      <c r="AM1264" s="111"/>
      <c r="AN1264" s="111"/>
      <c r="AO1264" s="111"/>
      <c r="AP1264" s="111"/>
      <c r="AQ1264" s="111"/>
      <c r="AR1264" s="111"/>
      <c r="AS1264" s="111"/>
      <c r="AT1264" s="111"/>
      <c r="AU1264" s="111"/>
      <c r="AV1264" s="50"/>
      <c r="AW1264" s="50"/>
      <c r="AX1264" s="50"/>
      <c r="AY1264" s="50"/>
      <c r="AZ1264" s="50"/>
      <c r="BA1264" s="50"/>
      <c r="BB1264" s="50"/>
      <c r="BC1264" s="50"/>
      <c r="BD1264" s="50"/>
      <c r="BE1264" s="50"/>
      <c r="BF1264" s="50"/>
      <c r="BG1264" s="50"/>
      <c r="BH1264" s="50"/>
      <c r="BI1264" s="50"/>
      <c r="BJ1264" s="50"/>
      <c r="BK1264" s="50"/>
      <c r="BL1264" s="50"/>
      <c r="BM1264" s="50"/>
      <c r="BN1264" s="50"/>
      <c r="BO1264" s="50"/>
      <c r="BP1264" s="50"/>
      <c r="BQ1264" s="50"/>
      <c r="BR1264" s="50"/>
      <c r="BS1264" s="111"/>
      <c r="BT1264" s="50"/>
      <c r="BU1264" s="50"/>
      <c r="BV1264" s="50"/>
      <c r="BW1264" s="50"/>
      <c r="BX1264" s="50"/>
      <c r="BY1264" s="50"/>
      <c r="BZ1264" s="50"/>
      <c r="CA1264" s="50"/>
      <c r="CB1264" s="50"/>
      <c r="CC1264" s="50"/>
      <c r="CD1264" s="50"/>
      <c r="CE1264" s="50"/>
      <c r="CF1264" s="50"/>
      <c r="CG1264" s="50"/>
      <c r="CH1264" s="50"/>
      <c r="CI1264" s="50"/>
      <c r="CJ1264" s="50"/>
      <c r="CK1264" s="50"/>
      <c r="CL1264" s="50"/>
      <c r="CM1264" s="50"/>
      <c r="CN1264" s="50"/>
      <c r="CO1264" s="50"/>
      <c r="CP1264" s="50"/>
      <c r="CQ1264" s="50"/>
      <c r="CR1264" s="50"/>
      <c r="CS1264" s="50"/>
    </row>
    <row r="1265" spans="1:97" ht="15" thickBot="1">
      <c r="A1265" s="49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111"/>
      <c r="O1265" s="111"/>
      <c r="P1265" s="111"/>
      <c r="Q1265" s="111"/>
      <c r="R1265" s="111"/>
      <c r="S1265" s="111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1"/>
      <c r="AF1265" s="111"/>
      <c r="AG1265" s="111"/>
      <c r="AH1265" s="111"/>
      <c r="AI1265" s="111"/>
      <c r="AJ1265" s="111"/>
      <c r="AK1265" s="111"/>
      <c r="AL1265" s="111"/>
      <c r="AM1265" s="111"/>
      <c r="AN1265" s="111"/>
      <c r="AO1265" s="111"/>
      <c r="AP1265" s="111"/>
      <c r="AQ1265" s="111"/>
      <c r="AR1265" s="111"/>
      <c r="AS1265" s="111"/>
      <c r="AT1265" s="111"/>
      <c r="AU1265" s="111"/>
      <c r="AV1265" s="50"/>
      <c r="AW1265" s="50"/>
      <c r="AX1265" s="50"/>
      <c r="AY1265" s="50"/>
      <c r="AZ1265" s="50"/>
      <c r="BA1265" s="50"/>
      <c r="BB1265" s="50"/>
      <c r="BC1265" s="50"/>
      <c r="BD1265" s="50"/>
      <c r="BE1265" s="50"/>
      <c r="BF1265" s="50"/>
      <c r="BG1265" s="50"/>
      <c r="BH1265" s="50"/>
      <c r="BI1265" s="50"/>
      <c r="BJ1265" s="50"/>
      <c r="BK1265" s="50"/>
      <c r="BL1265" s="50"/>
      <c r="BM1265" s="50"/>
      <c r="BN1265" s="50"/>
      <c r="BO1265" s="50"/>
      <c r="BP1265" s="50"/>
      <c r="BQ1265" s="50"/>
      <c r="BR1265" s="50"/>
      <c r="BS1265" s="111"/>
      <c r="BT1265" s="50"/>
      <c r="BU1265" s="50"/>
      <c r="BV1265" s="50"/>
      <c r="BW1265" s="50"/>
      <c r="BX1265" s="50"/>
      <c r="BY1265" s="50"/>
      <c r="BZ1265" s="50"/>
      <c r="CA1265" s="50"/>
      <c r="CB1265" s="50"/>
      <c r="CC1265" s="50"/>
      <c r="CD1265" s="50"/>
      <c r="CE1265" s="50"/>
      <c r="CF1265" s="50"/>
      <c r="CG1265" s="50"/>
      <c r="CH1265" s="50"/>
      <c r="CI1265" s="50"/>
      <c r="CJ1265" s="50"/>
      <c r="CK1265" s="50"/>
      <c r="CL1265" s="50"/>
      <c r="CM1265" s="50"/>
      <c r="CN1265" s="50"/>
      <c r="CO1265" s="50"/>
      <c r="CP1265" s="50"/>
      <c r="CQ1265" s="50"/>
      <c r="CR1265" s="50"/>
      <c r="CS1265" s="50"/>
    </row>
    <row r="1266" spans="1:97" ht="15" thickBot="1">
      <c r="A1266" s="49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111"/>
      <c r="O1266" s="111"/>
      <c r="P1266" s="111"/>
      <c r="Q1266" s="111"/>
      <c r="R1266" s="111"/>
      <c r="S1266" s="111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1"/>
      <c r="AF1266" s="111"/>
      <c r="AG1266" s="111"/>
      <c r="AH1266" s="111"/>
      <c r="AI1266" s="111"/>
      <c r="AJ1266" s="111"/>
      <c r="AK1266" s="111"/>
      <c r="AL1266" s="111"/>
      <c r="AM1266" s="111"/>
      <c r="AN1266" s="111"/>
      <c r="AO1266" s="111"/>
      <c r="AP1266" s="111"/>
      <c r="AQ1266" s="111"/>
      <c r="AR1266" s="111"/>
      <c r="AS1266" s="111"/>
      <c r="AT1266" s="111"/>
      <c r="AU1266" s="111"/>
      <c r="AV1266" s="50"/>
      <c r="AW1266" s="50"/>
      <c r="AX1266" s="50"/>
      <c r="AY1266" s="50"/>
      <c r="AZ1266" s="50"/>
      <c r="BA1266" s="50"/>
      <c r="BB1266" s="50"/>
      <c r="BC1266" s="50"/>
      <c r="BD1266" s="50"/>
      <c r="BE1266" s="50"/>
      <c r="BF1266" s="50"/>
      <c r="BG1266" s="50"/>
      <c r="BH1266" s="50"/>
      <c r="BI1266" s="50"/>
      <c r="BJ1266" s="50"/>
      <c r="BK1266" s="50"/>
      <c r="BL1266" s="50"/>
      <c r="BM1266" s="50"/>
      <c r="BN1266" s="50"/>
      <c r="BO1266" s="50"/>
      <c r="BP1266" s="50"/>
      <c r="BQ1266" s="50"/>
      <c r="BR1266" s="50"/>
      <c r="BS1266" s="111"/>
      <c r="BT1266" s="50"/>
      <c r="BU1266" s="50"/>
      <c r="BV1266" s="50"/>
      <c r="BW1266" s="50"/>
      <c r="BX1266" s="50"/>
      <c r="BY1266" s="50"/>
      <c r="BZ1266" s="50"/>
      <c r="CA1266" s="50"/>
      <c r="CB1266" s="50"/>
      <c r="CC1266" s="50"/>
      <c r="CD1266" s="50"/>
      <c r="CE1266" s="50"/>
      <c r="CF1266" s="50"/>
      <c r="CG1266" s="50"/>
      <c r="CH1266" s="50"/>
      <c r="CI1266" s="50"/>
      <c r="CJ1266" s="50"/>
      <c r="CK1266" s="50"/>
      <c r="CL1266" s="50"/>
      <c r="CM1266" s="50"/>
      <c r="CN1266" s="50"/>
      <c r="CO1266" s="50"/>
      <c r="CP1266" s="50"/>
      <c r="CQ1266" s="50"/>
      <c r="CR1266" s="50"/>
      <c r="CS1266" s="50"/>
    </row>
    <row r="1267" spans="1:97" ht="15" thickBot="1">
      <c r="A1267" s="49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111"/>
      <c r="O1267" s="111"/>
      <c r="P1267" s="111"/>
      <c r="Q1267" s="111"/>
      <c r="R1267" s="111"/>
      <c r="S1267" s="111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1"/>
      <c r="AF1267" s="111"/>
      <c r="AG1267" s="111"/>
      <c r="AH1267" s="111"/>
      <c r="AI1267" s="111"/>
      <c r="AJ1267" s="111"/>
      <c r="AK1267" s="111"/>
      <c r="AL1267" s="111"/>
      <c r="AM1267" s="111"/>
      <c r="AN1267" s="111"/>
      <c r="AO1267" s="111"/>
      <c r="AP1267" s="111"/>
      <c r="AQ1267" s="111"/>
      <c r="AR1267" s="111"/>
      <c r="AS1267" s="111"/>
      <c r="AT1267" s="111"/>
      <c r="AU1267" s="111"/>
      <c r="AV1267" s="50"/>
      <c r="AW1267" s="50"/>
      <c r="AX1267" s="50"/>
      <c r="AY1267" s="50"/>
      <c r="AZ1267" s="50"/>
      <c r="BA1267" s="50"/>
      <c r="BB1267" s="50"/>
      <c r="BC1267" s="50"/>
      <c r="BD1267" s="50"/>
      <c r="BE1267" s="50"/>
      <c r="BF1267" s="50"/>
      <c r="BG1267" s="50"/>
      <c r="BH1267" s="50"/>
      <c r="BI1267" s="50"/>
      <c r="BJ1267" s="50"/>
      <c r="BK1267" s="50"/>
      <c r="BL1267" s="50"/>
      <c r="BM1267" s="50"/>
      <c r="BN1267" s="50"/>
      <c r="BO1267" s="50"/>
      <c r="BP1267" s="50"/>
      <c r="BQ1267" s="50"/>
      <c r="BR1267" s="50"/>
      <c r="BS1267" s="111"/>
      <c r="BT1267" s="50"/>
      <c r="BU1267" s="50"/>
      <c r="BV1267" s="50"/>
      <c r="BW1267" s="50"/>
      <c r="BX1267" s="50"/>
      <c r="BY1267" s="50"/>
      <c r="BZ1267" s="50"/>
      <c r="CA1267" s="50"/>
      <c r="CB1267" s="50"/>
      <c r="CC1267" s="50"/>
      <c r="CD1267" s="50"/>
      <c r="CE1267" s="50"/>
      <c r="CF1267" s="50"/>
      <c r="CG1267" s="50"/>
      <c r="CH1267" s="50"/>
      <c r="CI1267" s="50"/>
      <c r="CJ1267" s="50"/>
      <c r="CK1267" s="50"/>
      <c r="CL1267" s="50"/>
      <c r="CM1267" s="50"/>
      <c r="CN1267" s="50"/>
      <c r="CO1267" s="50"/>
      <c r="CP1267" s="50"/>
      <c r="CQ1267" s="50"/>
      <c r="CR1267" s="50"/>
      <c r="CS1267" s="50"/>
    </row>
    <row r="1268" spans="1:97" ht="15" thickBot="1">
      <c r="A1268" s="49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111"/>
      <c r="O1268" s="111"/>
      <c r="P1268" s="111"/>
      <c r="Q1268" s="111"/>
      <c r="R1268" s="111"/>
      <c r="S1268" s="111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1"/>
      <c r="AF1268" s="111"/>
      <c r="AG1268" s="111"/>
      <c r="AH1268" s="111"/>
      <c r="AI1268" s="111"/>
      <c r="AJ1268" s="111"/>
      <c r="AK1268" s="111"/>
      <c r="AL1268" s="111"/>
      <c r="AM1268" s="111"/>
      <c r="AN1268" s="111"/>
      <c r="AO1268" s="111"/>
      <c r="AP1268" s="111"/>
      <c r="AQ1268" s="111"/>
      <c r="AR1268" s="111"/>
      <c r="AS1268" s="111"/>
      <c r="AT1268" s="111"/>
      <c r="AU1268" s="111"/>
      <c r="AV1268" s="50"/>
      <c r="AW1268" s="50"/>
      <c r="AX1268" s="50"/>
      <c r="AY1268" s="50"/>
      <c r="AZ1268" s="50"/>
      <c r="BA1268" s="50"/>
      <c r="BB1268" s="50"/>
      <c r="BC1268" s="50"/>
      <c r="BD1268" s="50"/>
      <c r="BE1268" s="50"/>
      <c r="BF1268" s="50"/>
      <c r="BG1268" s="50"/>
      <c r="BH1268" s="50"/>
      <c r="BI1268" s="50"/>
      <c r="BJ1268" s="50"/>
      <c r="BK1268" s="50"/>
      <c r="BL1268" s="50"/>
      <c r="BM1268" s="50"/>
      <c r="BN1268" s="50"/>
      <c r="BO1268" s="50"/>
      <c r="BP1268" s="50"/>
      <c r="BQ1268" s="50"/>
      <c r="BR1268" s="50"/>
      <c r="BS1268" s="111"/>
      <c r="BT1268" s="50"/>
      <c r="BU1268" s="50"/>
      <c r="BV1268" s="50"/>
      <c r="BW1268" s="50"/>
      <c r="BX1268" s="50"/>
      <c r="BY1268" s="50"/>
      <c r="BZ1268" s="50"/>
      <c r="CA1268" s="50"/>
      <c r="CB1268" s="50"/>
      <c r="CC1268" s="50"/>
      <c r="CD1268" s="50"/>
      <c r="CE1268" s="50"/>
      <c r="CF1268" s="50"/>
      <c r="CG1268" s="50"/>
      <c r="CH1268" s="50"/>
      <c r="CI1268" s="50"/>
      <c r="CJ1268" s="50"/>
      <c r="CK1268" s="50"/>
      <c r="CL1268" s="50"/>
      <c r="CM1268" s="50"/>
      <c r="CN1268" s="50"/>
      <c r="CO1268" s="50"/>
      <c r="CP1268" s="50"/>
      <c r="CQ1268" s="50"/>
      <c r="CR1268" s="50"/>
      <c r="CS1268" s="50"/>
    </row>
    <row r="1269" spans="1:97" ht="15" thickBot="1">
      <c r="A1269" s="49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111"/>
      <c r="O1269" s="111"/>
      <c r="P1269" s="111"/>
      <c r="Q1269" s="111"/>
      <c r="R1269" s="111"/>
      <c r="S1269" s="111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1"/>
      <c r="AF1269" s="111"/>
      <c r="AG1269" s="111"/>
      <c r="AH1269" s="111"/>
      <c r="AI1269" s="111"/>
      <c r="AJ1269" s="111"/>
      <c r="AK1269" s="111"/>
      <c r="AL1269" s="111"/>
      <c r="AM1269" s="111"/>
      <c r="AN1269" s="111"/>
      <c r="AO1269" s="111"/>
      <c r="AP1269" s="111"/>
      <c r="AQ1269" s="111"/>
      <c r="AR1269" s="111"/>
      <c r="AS1269" s="111"/>
      <c r="AT1269" s="111"/>
      <c r="AU1269" s="111"/>
      <c r="AV1269" s="50"/>
      <c r="AW1269" s="50"/>
      <c r="AX1269" s="50"/>
      <c r="AY1269" s="50"/>
      <c r="AZ1269" s="50"/>
      <c r="BA1269" s="50"/>
      <c r="BB1269" s="50"/>
      <c r="BC1269" s="50"/>
      <c r="BD1269" s="50"/>
      <c r="BE1269" s="50"/>
      <c r="BF1269" s="50"/>
      <c r="BG1269" s="50"/>
      <c r="BH1269" s="50"/>
      <c r="BI1269" s="50"/>
      <c r="BJ1269" s="50"/>
      <c r="BK1269" s="50"/>
      <c r="BL1269" s="50"/>
      <c r="BM1269" s="50"/>
      <c r="BN1269" s="50"/>
      <c r="BO1269" s="50"/>
      <c r="BP1269" s="50"/>
      <c r="BQ1269" s="50"/>
      <c r="BR1269" s="50"/>
      <c r="BS1269" s="111"/>
      <c r="BT1269" s="50"/>
      <c r="BU1269" s="50"/>
      <c r="BV1269" s="50"/>
      <c r="BW1269" s="50"/>
      <c r="BX1269" s="50"/>
      <c r="BY1269" s="50"/>
      <c r="BZ1269" s="50"/>
      <c r="CA1269" s="50"/>
      <c r="CB1269" s="50"/>
      <c r="CC1269" s="50"/>
      <c r="CD1269" s="50"/>
      <c r="CE1269" s="50"/>
      <c r="CF1269" s="50"/>
      <c r="CG1269" s="50"/>
      <c r="CH1269" s="50"/>
      <c r="CI1269" s="50"/>
      <c r="CJ1269" s="50"/>
      <c r="CK1269" s="50"/>
      <c r="CL1269" s="50"/>
      <c r="CM1269" s="50"/>
      <c r="CN1269" s="50"/>
      <c r="CO1269" s="50"/>
      <c r="CP1269" s="50"/>
      <c r="CQ1269" s="50"/>
      <c r="CR1269" s="50"/>
      <c r="CS1269" s="50"/>
    </row>
    <row r="1270" spans="1:97" ht="15" thickBot="1">
      <c r="A1270" s="49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111"/>
      <c r="O1270" s="111"/>
      <c r="P1270" s="111"/>
      <c r="Q1270" s="111"/>
      <c r="R1270" s="111"/>
      <c r="S1270" s="111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1"/>
      <c r="AF1270" s="111"/>
      <c r="AG1270" s="111"/>
      <c r="AH1270" s="111"/>
      <c r="AI1270" s="111"/>
      <c r="AJ1270" s="111"/>
      <c r="AK1270" s="111"/>
      <c r="AL1270" s="111"/>
      <c r="AM1270" s="111"/>
      <c r="AN1270" s="111"/>
      <c r="AO1270" s="111"/>
      <c r="AP1270" s="111"/>
      <c r="AQ1270" s="111"/>
      <c r="AR1270" s="111"/>
      <c r="AS1270" s="111"/>
      <c r="AT1270" s="111"/>
      <c r="AU1270" s="111"/>
      <c r="AV1270" s="50"/>
      <c r="AW1270" s="50"/>
      <c r="AX1270" s="50"/>
      <c r="AY1270" s="50"/>
      <c r="AZ1270" s="50"/>
      <c r="BA1270" s="50"/>
      <c r="BB1270" s="50"/>
      <c r="BC1270" s="50"/>
      <c r="BD1270" s="50"/>
      <c r="BE1270" s="50"/>
      <c r="BF1270" s="50"/>
      <c r="BG1270" s="50"/>
      <c r="BH1270" s="50"/>
      <c r="BI1270" s="50"/>
      <c r="BJ1270" s="50"/>
      <c r="BK1270" s="50"/>
      <c r="BL1270" s="50"/>
      <c r="BM1270" s="50"/>
      <c r="BN1270" s="50"/>
      <c r="BO1270" s="50"/>
      <c r="BP1270" s="50"/>
      <c r="BQ1270" s="50"/>
      <c r="BR1270" s="50"/>
      <c r="BS1270" s="111"/>
      <c r="BT1270" s="50"/>
      <c r="BU1270" s="50"/>
      <c r="BV1270" s="50"/>
      <c r="BW1270" s="50"/>
      <c r="BX1270" s="50"/>
      <c r="BY1270" s="50"/>
      <c r="BZ1270" s="50"/>
      <c r="CA1270" s="50"/>
      <c r="CB1270" s="50"/>
      <c r="CC1270" s="50"/>
      <c r="CD1270" s="50"/>
      <c r="CE1270" s="50"/>
      <c r="CF1270" s="50"/>
      <c r="CG1270" s="50"/>
      <c r="CH1270" s="50"/>
      <c r="CI1270" s="50"/>
      <c r="CJ1270" s="50"/>
      <c r="CK1270" s="50"/>
      <c r="CL1270" s="50"/>
      <c r="CM1270" s="50"/>
      <c r="CN1270" s="50"/>
      <c r="CO1270" s="50"/>
      <c r="CP1270" s="50"/>
      <c r="CQ1270" s="50"/>
      <c r="CR1270" s="50"/>
      <c r="CS1270" s="50"/>
    </row>
    <row r="1271" spans="1:97" ht="15" thickBot="1">
      <c r="A1271" s="49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111"/>
      <c r="O1271" s="111"/>
      <c r="P1271" s="111"/>
      <c r="Q1271" s="111"/>
      <c r="R1271" s="111"/>
      <c r="S1271" s="111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1"/>
      <c r="AF1271" s="111"/>
      <c r="AG1271" s="111"/>
      <c r="AH1271" s="111"/>
      <c r="AI1271" s="111"/>
      <c r="AJ1271" s="111"/>
      <c r="AK1271" s="111"/>
      <c r="AL1271" s="111"/>
      <c r="AM1271" s="111"/>
      <c r="AN1271" s="111"/>
      <c r="AO1271" s="111"/>
      <c r="AP1271" s="111"/>
      <c r="AQ1271" s="111"/>
      <c r="AR1271" s="111"/>
      <c r="AS1271" s="111"/>
      <c r="AT1271" s="111"/>
      <c r="AU1271" s="111"/>
      <c r="AV1271" s="50"/>
      <c r="AW1271" s="50"/>
      <c r="AX1271" s="50"/>
      <c r="AY1271" s="50"/>
      <c r="AZ1271" s="50"/>
      <c r="BA1271" s="50"/>
      <c r="BB1271" s="50"/>
      <c r="BC1271" s="50"/>
      <c r="BD1271" s="50"/>
      <c r="BE1271" s="50"/>
      <c r="BF1271" s="50"/>
      <c r="BG1271" s="50"/>
      <c r="BH1271" s="50"/>
      <c r="BI1271" s="50"/>
      <c r="BJ1271" s="50"/>
      <c r="BK1271" s="50"/>
      <c r="BL1271" s="50"/>
      <c r="BM1271" s="50"/>
      <c r="BN1271" s="50"/>
      <c r="BO1271" s="50"/>
      <c r="BP1271" s="50"/>
      <c r="BQ1271" s="50"/>
      <c r="BR1271" s="50"/>
      <c r="BS1271" s="111"/>
      <c r="BT1271" s="50"/>
      <c r="BU1271" s="50"/>
      <c r="BV1271" s="50"/>
      <c r="BW1271" s="50"/>
      <c r="BX1271" s="50"/>
      <c r="BY1271" s="50"/>
      <c r="BZ1271" s="50"/>
      <c r="CA1271" s="50"/>
      <c r="CB1271" s="50"/>
      <c r="CC1271" s="50"/>
      <c r="CD1271" s="50"/>
      <c r="CE1271" s="50"/>
      <c r="CF1271" s="50"/>
      <c r="CG1271" s="50"/>
      <c r="CH1271" s="50"/>
      <c r="CI1271" s="50"/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</row>
    <row r="1272" spans="1:97" ht="15" thickBot="1">
      <c r="A1272" s="49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111"/>
      <c r="O1272" s="111"/>
      <c r="P1272" s="111"/>
      <c r="Q1272" s="111"/>
      <c r="R1272" s="111"/>
      <c r="S1272" s="111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1"/>
      <c r="AF1272" s="111"/>
      <c r="AG1272" s="111"/>
      <c r="AH1272" s="111"/>
      <c r="AI1272" s="111"/>
      <c r="AJ1272" s="111"/>
      <c r="AK1272" s="111"/>
      <c r="AL1272" s="111"/>
      <c r="AM1272" s="111"/>
      <c r="AN1272" s="111"/>
      <c r="AO1272" s="111"/>
      <c r="AP1272" s="111"/>
      <c r="AQ1272" s="111"/>
      <c r="AR1272" s="111"/>
      <c r="AS1272" s="111"/>
      <c r="AT1272" s="111"/>
      <c r="AU1272" s="111"/>
      <c r="AV1272" s="50"/>
      <c r="AW1272" s="50"/>
      <c r="AX1272" s="50"/>
      <c r="AY1272" s="50"/>
      <c r="AZ1272" s="50"/>
      <c r="BA1272" s="50"/>
      <c r="BB1272" s="50"/>
      <c r="BC1272" s="50"/>
      <c r="BD1272" s="50"/>
      <c r="BE1272" s="50"/>
      <c r="BF1272" s="50"/>
      <c r="BG1272" s="50"/>
      <c r="BH1272" s="50"/>
      <c r="BI1272" s="50"/>
      <c r="BJ1272" s="50"/>
      <c r="BK1272" s="50"/>
      <c r="BL1272" s="50"/>
      <c r="BM1272" s="50"/>
      <c r="BN1272" s="50"/>
      <c r="BO1272" s="50"/>
      <c r="BP1272" s="50"/>
      <c r="BQ1272" s="50"/>
      <c r="BR1272" s="50"/>
      <c r="BS1272" s="111"/>
      <c r="BT1272" s="50"/>
      <c r="BU1272" s="50"/>
      <c r="BV1272" s="50"/>
      <c r="BW1272" s="50"/>
      <c r="BX1272" s="50"/>
      <c r="BY1272" s="50"/>
      <c r="BZ1272" s="50"/>
      <c r="CA1272" s="50"/>
      <c r="CB1272" s="50"/>
      <c r="CC1272" s="50"/>
      <c r="CD1272" s="50"/>
      <c r="CE1272" s="50"/>
      <c r="CF1272" s="50"/>
      <c r="CG1272" s="50"/>
      <c r="CH1272" s="50"/>
      <c r="CI1272" s="50"/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</row>
    <row r="1273" spans="1:97" ht="15" thickBot="1">
      <c r="A1273" s="49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111"/>
      <c r="O1273" s="111"/>
      <c r="P1273" s="111"/>
      <c r="Q1273" s="111"/>
      <c r="R1273" s="111"/>
      <c r="S1273" s="111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1"/>
      <c r="AF1273" s="111"/>
      <c r="AG1273" s="111"/>
      <c r="AH1273" s="111"/>
      <c r="AI1273" s="111"/>
      <c r="AJ1273" s="111"/>
      <c r="AK1273" s="111"/>
      <c r="AL1273" s="111"/>
      <c r="AM1273" s="111"/>
      <c r="AN1273" s="111"/>
      <c r="AO1273" s="111"/>
      <c r="AP1273" s="111"/>
      <c r="AQ1273" s="111"/>
      <c r="AR1273" s="111"/>
      <c r="AS1273" s="111"/>
      <c r="AT1273" s="111"/>
      <c r="AU1273" s="111"/>
      <c r="AV1273" s="50"/>
      <c r="AW1273" s="50"/>
      <c r="AX1273" s="50"/>
      <c r="AY1273" s="50"/>
      <c r="AZ1273" s="50"/>
      <c r="BA1273" s="50"/>
      <c r="BB1273" s="50"/>
      <c r="BC1273" s="50"/>
      <c r="BD1273" s="50"/>
      <c r="BE1273" s="50"/>
      <c r="BF1273" s="50"/>
      <c r="BG1273" s="50"/>
      <c r="BH1273" s="50"/>
      <c r="BI1273" s="50"/>
      <c r="BJ1273" s="50"/>
      <c r="BK1273" s="50"/>
      <c r="BL1273" s="50"/>
      <c r="BM1273" s="50"/>
      <c r="BN1273" s="50"/>
      <c r="BO1273" s="50"/>
      <c r="BP1273" s="50"/>
      <c r="BQ1273" s="50"/>
      <c r="BR1273" s="50"/>
      <c r="BS1273" s="111"/>
      <c r="BT1273" s="50"/>
      <c r="BU1273" s="50"/>
      <c r="BV1273" s="50"/>
      <c r="BW1273" s="50"/>
      <c r="BX1273" s="50"/>
      <c r="BY1273" s="50"/>
      <c r="BZ1273" s="50"/>
      <c r="CA1273" s="50"/>
      <c r="CB1273" s="50"/>
      <c r="CC1273" s="50"/>
      <c r="CD1273" s="50"/>
      <c r="CE1273" s="50"/>
      <c r="CF1273" s="50"/>
      <c r="CG1273" s="50"/>
      <c r="CH1273" s="50"/>
      <c r="CI1273" s="50"/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</row>
    <row r="1274" spans="1:97" ht="15" thickBot="1">
      <c r="A1274" s="49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111"/>
      <c r="O1274" s="111"/>
      <c r="P1274" s="111"/>
      <c r="Q1274" s="111"/>
      <c r="R1274" s="111"/>
      <c r="S1274" s="111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1"/>
      <c r="AF1274" s="111"/>
      <c r="AG1274" s="111"/>
      <c r="AH1274" s="111"/>
      <c r="AI1274" s="111"/>
      <c r="AJ1274" s="111"/>
      <c r="AK1274" s="111"/>
      <c r="AL1274" s="111"/>
      <c r="AM1274" s="111"/>
      <c r="AN1274" s="111"/>
      <c r="AO1274" s="111"/>
      <c r="AP1274" s="111"/>
      <c r="AQ1274" s="111"/>
      <c r="AR1274" s="111"/>
      <c r="AS1274" s="111"/>
      <c r="AT1274" s="111"/>
      <c r="AU1274" s="111"/>
      <c r="AV1274" s="50"/>
      <c r="AW1274" s="50"/>
      <c r="AX1274" s="50"/>
      <c r="AY1274" s="50"/>
      <c r="AZ1274" s="50"/>
      <c r="BA1274" s="50"/>
      <c r="BB1274" s="50"/>
      <c r="BC1274" s="50"/>
      <c r="BD1274" s="50"/>
      <c r="BE1274" s="50"/>
      <c r="BF1274" s="50"/>
      <c r="BG1274" s="50"/>
      <c r="BH1274" s="50"/>
      <c r="BI1274" s="50"/>
      <c r="BJ1274" s="50"/>
      <c r="BK1274" s="50"/>
      <c r="BL1274" s="50"/>
      <c r="BM1274" s="50"/>
      <c r="BN1274" s="50"/>
      <c r="BO1274" s="50"/>
      <c r="BP1274" s="50"/>
      <c r="BQ1274" s="50"/>
      <c r="BR1274" s="50"/>
      <c r="BS1274" s="111"/>
      <c r="BT1274" s="50"/>
      <c r="BU1274" s="50"/>
      <c r="BV1274" s="50"/>
      <c r="BW1274" s="50"/>
      <c r="BX1274" s="50"/>
      <c r="BY1274" s="50"/>
      <c r="BZ1274" s="50"/>
      <c r="CA1274" s="50"/>
      <c r="CB1274" s="50"/>
      <c r="CC1274" s="50"/>
      <c r="CD1274" s="50"/>
      <c r="CE1274" s="50"/>
      <c r="CF1274" s="50"/>
      <c r="CG1274" s="50"/>
      <c r="CH1274" s="50"/>
      <c r="CI1274" s="50"/>
      <c r="CJ1274" s="50"/>
      <c r="CK1274" s="50"/>
      <c r="CL1274" s="50"/>
      <c r="CM1274" s="50"/>
      <c r="CN1274" s="50"/>
      <c r="CO1274" s="50"/>
      <c r="CP1274" s="50"/>
      <c r="CQ1274" s="50"/>
      <c r="CR1274" s="50"/>
      <c r="CS1274" s="50"/>
    </row>
    <row r="1275" spans="1:97" ht="15" thickBot="1">
      <c r="A1275" s="49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111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1"/>
      <c r="AF1275" s="111"/>
      <c r="AG1275" s="111"/>
      <c r="AH1275" s="111"/>
      <c r="AI1275" s="111"/>
      <c r="AJ1275" s="111"/>
      <c r="AK1275" s="111"/>
      <c r="AL1275" s="111"/>
      <c r="AM1275" s="111"/>
      <c r="AN1275" s="111"/>
      <c r="AO1275" s="111"/>
      <c r="AP1275" s="111"/>
      <c r="AQ1275" s="111"/>
      <c r="AR1275" s="111"/>
      <c r="AS1275" s="111"/>
      <c r="AT1275" s="111"/>
      <c r="AU1275" s="111"/>
      <c r="AV1275" s="50"/>
      <c r="AW1275" s="50"/>
      <c r="AX1275" s="50"/>
      <c r="AY1275" s="50"/>
      <c r="AZ1275" s="50"/>
      <c r="BA1275" s="50"/>
      <c r="BB1275" s="50"/>
      <c r="BC1275" s="50"/>
      <c r="BD1275" s="50"/>
      <c r="BE1275" s="50"/>
      <c r="BF1275" s="50"/>
      <c r="BG1275" s="50"/>
      <c r="BH1275" s="50"/>
      <c r="BI1275" s="50"/>
      <c r="BJ1275" s="50"/>
      <c r="BK1275" s="50"/>
      <c r="BL1275" s="50"/>
      <c r="BM1275" s="50"/>
      <c r="BN1275" s="50"/>
      <c r="BO1275" s="50"/>
      <c r="BP1275" s="50"/>
      <c r="BQ1275" s="50"/>
      <c r="BR1275" s="50"/>
      <c r="BS1275" s="111"/>
      <c r="BT1275" s="50"/>
      <c r="BU1275" s="50"/>
      <c r="BV1275" s="50"/>
      <c r="BW1275" s="50"/>
      <c r="BX1275" s="50"/>
      <c r="BY1275" s="50"/>
      <c r="BZ1275" s="50"/>
      <c r="CA1275" s="50"/>
      <c r="CB1275" s="50"/>
      <c r="CC1275" s="50"/>
      <c r="CD1275" s="50"/>
      <c r="CE1275" s="50"/>
      <c r="CF1275" s="50"/>
      <c r="CG1275" s="50"/>
      <c r="CH1275" s="50"/>
      <c r="CI1275" s="50"/>
      <c r="CJ1275" s="50"/>
      <c r="CK1275" s="50"/>
      <c r="CL1275" s="50"/>
      <c r="CM1275" s="50"/>
      <c r="CN1275" s="50"/>
      <c r="CO1275" s="50"/>
      <c r="CP1275" s="50"/>
      <c r="CQ1275" s="50"/>
      <c r="CR1275" s="50"/>
      <c r="CS1275" s="50"/>
    </row>
    <row r="1276" spans="1:97" ht="15" thickBot="1">
      <c r="A1276" s="49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111"/>
      <c r="O1276" s="111"/>
      <c r="P1276" s="111"/>
      <c r="Q1276" s="111"/>
      <c r="R1276" s="111"/>
      <c r="S1276" s="111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1"/>
      <c r="AF1276" s="111"/>
      <c r="AG1276" s="111"/>
      <c r="AH1276" s="111"/>
      <c r="AI1276" s="111"/>
      <c r="AJ1276" s="111"/>
      <c r="AK1276" s="111"/>
      <c r="AL1276" s="111"/>
      <c r="AM1276" s="111"/>
      <c r="AN1276" s="111"/>
      <c r="AO1276" s="111"/>
      <c r="AP1276" s="111"/>
      <c r="AQ1276" s="111"/>
      <c r="AR1276" s="111"/>
      <c r="AS1276" s="111"/>
      <c r="AT1276" s="111"/>
      <c r="AU1276" s="111"/>
      <c r="AV1276" s="50"/>
      <c r="AW1276" s="50"/>
      <c r="AX1276" s="50"/>
      <c r="AY1276" s="50"/>
      <c r="AZ1276" s="50"/>
      <c r="BA1276" s="50"/>
      <c r="BB1276" s="50"/>
      <c r="BC1276" s="50"/>
      <c r="BD1276" s="50"/>
      <c r="BE1276" s="50"/>
      <c r="BF1276" s="50"/>
      <c r="BG1276" s="50"/>
      <c r="BH1276" s="50"/>
      <c r="BI1276" s="50"/>
      <c r="BJ1276" s="50"/>
      <c r="BK1276" s="50"/>
      <c r="BL1276" s="50"/>
      <c r="BM1276" s="50"/>
      <c r="BN1276" s="50"/>
      <c r="BO1276" s="50"/>
      <c r="BP1276" s="50"/>
      <c r="BQ1276" s="50"/>
      <c r="BR1276" s="50"/>
      <c r="BS1276" s="111"/>
      <c r="BT1276" s="50"/>
      <c r="BU1276" s="50"/>
      <c r="BV1276" s="50"/>
      <c r="BW1276" s="50"/>
      <c r="BX1276" s="50"/>
      <c r="BY1276" s="50"/>
      <c r="BZ1276" s="50"/>
      <c r="CA1276" s="50"/>
      <c r="CB1276" s="50"/>
      <c r="CC1276" s="50"/>
      <c r="CD1276" s="50"/>
      <c r="CE1276" s="50"/>
      <c r="CF1276" s="50"/>
      <c r="CG1276" s="50"/>
      <c r="CH1276" s="50"/>
      <c r="CI1276" s="50"/>
      <c r="CJ1276" s="50"/>
      <c r="CK1276" s="50"/>
      <c r="CL1276" s="50"/>
      <c r="CM1276" s="50"/>
      <c r="CN1276" s="50"/>
      <c r="CO1276" s="50"/>
      <c r="CP1276" s="50"/>
      <c r="CQ1276" s="50"/>
      <c r="CR1276" s="50"/>
      <c r="CS1276" s="50"/>
    </row>
    <row r="1277" spans="1:97" ht="15" thickBot="1">
      <c r="A1277" s="49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111"/>
      <c r="O1277" s="111"/>
      <c r="P1277" s="111"/>
      <c r="Q1277" s="111"/>
      <c r="R1277" s="111"/>
      <c r="S1277" s="111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1"/>
      <c r="AF1277" s="111"/>
      <c r="AG1277" s="111"/>
      <c r="AH1277" s="111"/>
      <c r="AI1277" s="111"/>
      <c r="AJ1277" s="111"/>
      <c r="AK1277" s="111"/>
      <c r="AL1277" s="111"/>
      <c r="AM1277" s="111"/>
      <c r="AN1277" s="111"/>
      <c r="AO1277" s="111"/>
      <c r="AP1277" s="111"/>
      <c r="AQ1277" s="111"/>
      <c r="AR1277" s="111"/>
      <c r="AS1277" s="111"/>
      <c r="AT1277" s="111"/>
      <c r="AU1277" s="111"/>
      <c r="AV1277" s="50"/>
      <c r="AW1277" s="50"/>
      <c r="AX1277" s="50"/>
      <c r="AY1277" s="50"/>
      <c r="AZ1277" s="50"/>
      <c r="BA1277" s="50"/>
      <c r="BB1277" s="50"/>
      <c r="BC1277" s="50"/>
      <c r="BD1277" s="50"/>
      <c r="BE1277" s="50"/>
      <c r="BF1277" s="50"/>
      <c r="BG1277" s="50"/>
      <c r="BH1277" s="50"/>
      <c r="BI1277" s="50"/>
      <c r="BJ1277" s="50"/>
      <c r="BK1277" s="50"/>
      <c r="BL1277" s="50"/>
      <c r="BM1277" s="50"/>
      <c r="BN1277" s="50"/>
      <c r="BO1277" s="50"/>
      <c r="BP1277" s="50"/>
      <c r="BQ1277" s="50"/>
      <c r="BR1277" s="50"/>
      <c r="BS1277" s="111"/>
      <c r="BT1277" s="50"/>
      <c r="BU1277" s="50"/>
      <c r="BV1277" s="50"/>
      <c r="BW1277" s="50"/>
      <c r="BX1277" s="50"/>
      <c r="BY1277" s="50"/>
      <c r="BZ1277" s="50"/>
      <c r="CA1277" s="50"/>
      <c r="CB1277" s="50"/>
      <c r="CC1277" s="50"/>
      <c r="CD1277" s="50"/>
      <c r="CE1277" s="50"/>
      <c r="CF1277" s="50"/>
      <c r="CG1277" s="50"/>
      <c r="CH1277" s="50"/>
      <c r="CI1277" s="50"/>
      <c r="CJ1277" s="50"/>
      <c r="CK1277" s="50"/>
      <c r="CL1277" s="50"/>
      <c r="CM1277" s="50"/>
      <c r="CN1277" s="50"/>
      <c r="CO1277" s="50"/>
      <c r="CP1277" s="50"/>
      <c r="CQ1277" s="50"/>
      <c r="CR1277" s="50"/>
      <c r="CS1277" s="50"/>
    </row>
    <row r="1278" spans="1:97" ht="15" thickBot="1">
      <c r="A1278" s="49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111"/>
      <c r="O1278" s="111"/>
      <c r="P1278" s="111"/>
      <c r="Q1278" s="111"/>
      <c r="R1278" s="111"/>
      <c r="S1278" s="111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1"/>
      <c r="AF1278" s="111"/>
      <c r="AG1278" s="111"/>
      <c r="AH1278" s="111"/>
      <c r="AI1278" s="111"/>
      <c r="AJ1278" s="111"/>
      <c r="AK1278" s="111"/>
      <c r="AL1278" s="111"/>
      <c r="AM1278" s="111"/>
      <c r="AN1278" s="111"/>
      <c r="AO1278" s="111"/>
      <c r="AP1278" s="111"/>
      <c r="AQ1278" s="111"/>
      <c r="AR1278" s="111"/>
      <c r="AS1278" s="111"/>
      <c r="AT1278" s="111"/>
      <c r="AU1278" s="111"/>
      <c r="AV1278" s="50"/>
      <c r="AW1278" s="50"/>
      <c r="AX1278" s="50"/>
      <c r="AY1278" s="50"/>
      <c r="AZ1278" s="50"/>
      <c r="BA1278" s="50"/>
      <c r="BB1278" s="50"/>
      <c r="BC1278" s="50"/>
      <c r="BD1278" s="50"/>
      <c r="BE1278" s="50"/>
      <c r="BF1278" s="50"/>
      <c r="BG1278" s="50"/>
      <c r="BH1278" s="50"/>
      <c r="BI1278" s="50"/>
      <c r="BJ1278" s="50"/>
      <c r="BK1278" s="50"/>
      <c r="BL1278" s="50"/>
      <c r="BM1278" s="50"/>
      <c r="BN1278" s="50"/>
      <c r="BO1278" s="50"/>
      <c r="BP1278" s="50"/>
      <c r="BQ1278" s="50"/>
      <c r="BR1278" s="50"/>
      <c r="BS1278" s="111"/>
      <c r="BT1278" s="50"/>
      <c r="BU1278" s="50"/>
      <c r="BV1278" s="50"/>
      <c r="BW1278" s="50"/>
      <c r="BX1278" s="50"/>
      <c r="BY1278" s="50"/>
      <c r="BZ1278" s="50"/>
      <c r="CA1278" s="50"/>
      <c r="CB1278" s="50"/>
      <c r="CC1278" s="50"/>
      <c r="CD1278" s="50"/>
      <c r="CE1278" s="50"/>
      <c r="CF1278" s="50"/>
      <c r="CG1278" s="50"/>
      <c r="CH1278" s="50"/>
      <c r="CI1278" s="50"/>
      <c r="CJ1278" s="50"/>
      <c r="CK1278" s="50"/>
      <c r="CL1278" s="50"/>
      <c r="CM1278" s="50"/>
      <c r="CN1278" s="50"/>
      <c r="CO1278" s="50"/>
      <c r="CP1278" s="50"/>
      <c r="CQ1278" s="50"/>
      <c r="CR1278" s="50"/>
      <c r="CS1278" s="50"/>
    </row>
    <row r="1279" spans="1:97" ht="15" thickBot="1">
      <c r="A1279" s="49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111"/>
      <c r="O1279" s="111"/>
      <c r="P1279" s="111"/>
      <c r="Q1279" s="111"/>
      <c r="R1279" s="111"/>
      <c r="S1279" s="111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1"/>
      <c r="AF1279" s="111"/>
      <c r="AG1279" s="111"/>
      <c r="AH1279" s="111"/>
      <c r="AI1279" s="111"/>
      <c r="AJ1279" s="111"/>
      <c r="AK1279" s="111"/>
      <c r="AL1279" s="111"/>
      <c r="AM1279" s="111"/>
      <c r="AN1279" s="111"/>
      <c r="AO1279" s="111"/>
      <c r="AP1279" s="111"/>
      <c r="AQ1279" s="111"/>
      <c r="AR1279" s="111"/>
      <c r="AS1279" s="111"/>
      <c r="AT1279" s="111"/>
      <c r="AU1279" s="111"/>
      <c r="AV1279" s="50"/>
      <c r="AW1279" s="50"/>
      <c r="AX1279" s="50"/>
      <c r="AY1279" s="50"/>
      <c r="AZ1279" s="50"/>
      <c r="BA1279" s="50"/>
      <c r="BB1279" s="50"/>
      <c r="BC1279" s="50"/>
      <c r="BD1279" s="50"/>
      <c r="BE1279" s="50"/>
      <c r="BF1279" s="50"/>
      <c r="BG1279" s="50"/>
      <c r="BH1279" s="50"/>
      <c r="BI1279" s="50"/>
      <c r="BJ1279" s="50"/>
      <c r="BK1279" s="50"/>
      <c r="BL1279" s="50"/>
      <c r="BM1279" s="50"/>
      <c r="BN1279" s="50"/>
      <c r="BO1279" s="50"/>
      <c r="BP1279" s="50"/>
      <c r="BQ1279" s="50"/>
      <c r="BR1279" s="50"/>
      <c r="BS1279" s="111"/>
      <c r="BT1279" s="50"/>
      <c r="BU1279" s="50"/>
      <c r="BV1279" s="50"/>
      <c r="BW1279" s="50"/>
      <c r="BX1279" s="50"/>
      <c r="BY1279" s="50"/>
      <c r="BZ1279" s="50"/>
      <c r="CA1279" s="50"/>
      <c r="CB1279" s="50"/>
      <c r="CC1279" s="50"/>
      <c r="CD1279" s="50"/>
      <c r="CE1279" s="50"/>
      <c r="CF1279" s="50"/>
      <c r="CG1279" s="50"/>
      <c r="CH1279" s="50"/>
      <c r="CI1279" s="50"/>
      <c r="CJ1279" s="50"/>
      <c r="CK1279" s="50"/>
      <c r="CL1279" s="50"/>
      <c r="CM1279" s="50"/>
      <c r="CN1279" s="50"/>
      <c r="CO1279" s="50"/>
      <c r="CP1279" s="50"/>
      <c r="CQ1279" s="50"/>
      <c r="CR1279" s="50"/>
      <c r="CS1279" s="50"/>
    </row>
    <row r="1280" spans="1:97" ht="15" thickBot="1">
      <c r="A1280" s="49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111"/>
      <c r="O1280" s="111"/>
      <c r="P1280" s="111"/>
      <c r="Q1280" s="111"/>
      <c r="R1280" s="111"/>
      <c r="S1280" s="111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1"/>
      <c r="AF1280" s="111"/>
      <c r="AG1280" s="111"/>
      <c r="AH1280" s="111"/>
      <c r="AI1280" s="111"/>
      <c r="AJ1280" s="111"/>
      <c r="AK1280" s="111"/>
      <c r="AL1280" s="111"/>
      <c r="AM1280" s="111"/>
      <c r="AN1280" s="111"/>
      <c r="AO1280" s="111"/>
      <c r="AP1280" s="111"/>
      <c r="AQ1280" s="111"/>
      <c r="AR1280" s="111"/>
      <c r="AS1280" s="111"/>
      <c r="AT1280" s="111"/>
      <c r="AU1280" s="111"/>
      <c r="AV1280" s="50"/>
      <c r="AW1280" s="50"/>
      <c r="AX1280" s="50"/>
      <c r="AY1280" s="50"/>
      <c r="AZ1280" s="50"/>
      <c r="BA1280" s="50"/>
      <c r="BB1280" s="50"/>
      <c r="BC1280" s="50"/>
      <c r="BD1280" s="50"/>
      <c r="BE1280" s="50"/>
      <c r="BF1280" s="50"/>
      <c r="BG1280" s="50"/>
      <c r="BH1280" s="50"/>
      <c r="BI1280" s="50"/>
      <c r="BJ1280" s="50"/>
      <c r="BK1280" s="50"/>
      <c r="BL1280" s="50"/>
      <c r="BM1280" s="50"/>
      <c r="BN1280" s="50"/>
      <c r="BO1280" s="50"/>
      <c r="BP1280" s="50"/>
      <c r="BQ1280" s="50"/>
      <c r="BR1280" s="50"/>
      <c r="BS1280" s="111"/>
      <c r="BT1280" s="50"/>
      <c r="BU1280" s="50"/>
      <c r="BV1280" s="50"/>
      <c r="BW1280" s="50"/>
      <c r="BX1280" s="50"/>
      <c r="BY1280" s="50"/>
      <c r="BZ1280" s="50"/>
      <c r="CA1280" s="50"/>
      <c r="CB1280" s="50"/>
      <c r="CC1280" s="50"/>
      <c r="CD1280" s="50"/>
      <c r="CE1280" s="50"/>
      <c r="CF1280" s="50"/>
      <c r="CG1280" s="50"/>
      <c r="CH1280" s="50"/>
      <c r="CI1280" s="50"/>
      <c r="CJ1280" s="50"/>
      <c r="CK1280" s="50"/>
      <c r="CL1280" s="50"/>
      <c r="CM1280" s="50"/>
      <c r="CN1280" s="50"/>
      <c r="CO1280" s="50"/>
      <c r="CP1280" s="50"/>
      <c r="CQ1280" s="50"/>
      <c r="CR1280" s="50"/>
      <c r="CS1280" s="50"/>
    </row>
    <row r="1281" spans="1:97" ht="15" thickBot="1">
      <c r="A1281" s="49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111"/>
      <c r="O1281" s="111"/>
      <c r="P1281" s="111"/>
      <c r="Q1281" s="111"/>
      <c r="R1281" s="111"/>
      <c r="S1281" s="111"/>
      <c r="T1281" s="111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1"/>
      <c r="AF1281" s="111"/>
      <c r="AG1281" s="111"/>
      <c r="AH1281" s="111"/>
      <c r="AI1281" s="111"/>
      <c r="AJ1281" s="111"/>
      <c r="AK1281" s="111"/>
      <c r="AL1281" s="111"/>
      <c r="AM1281" s="111"/>
      <c r="AN1281" s="111"/>
      <c r="AO1281" s="111"/>
      <c r="AP1281" s="111"/>
      <c r="AQ1281" s="111"/>
      <c r="AR1281" s="111"/>
      <c r="AS1281" s="111"/>
      <c r="AT1281" s="111"/>
      <c r="AU1281" s="111"/>
      <c r="AV1281" s="50"/>
      <c r="AW1281" s="50"/>
      <c r="AX1281" s="50"/>
      <c r="AY1281" s="50"/>
      <c r="AZ1281" s="50"/>
      <c r="BA1281" s="50"/>
      <c r="BB1281" s="50"/>
      <c r="BC1281" s="50"/>
      <c r="BD1281" s="50"/>
      <c r="BE1281" s="50"/>
      <c r="BF1281" s="50"/>
      <c r="BG1281" s="50"/>
      <c r="BH1281" s="50"/>
      <c r="BI1281" s="50"/>
      <c r="BJ1281" s="50"/>
      <c r="BK1281" s="50"/>
      <c r="BL1281" s="50"/>
      <c r="BM1281" s="50"/>
      <c r="BN1281" s="50"/>
      <c r="BO1281" s="50"/>
      <c r="BP1281" s="50"/>
      <c r="BQ1281" s="50"/>
      <c r="BR1281" s="50"/>
      <c r="BS1281" s="111"/>
      <c r="BT1281" s="50"/>
      <c r="BU1281" s="50"/>
      <c r="BV1281" s="50"/>
      <c r="BW1281" s="50"/>
      <c r="BX1281" s="50"/>
      <c r="BY1281" s="50"/>
      <c r="BZ1281" s="50"/>
      <c r="CA1281" s="50"/>
      <c r="CB1281" s="50"/>
      <c r="CC1281" s="50"/>
      <c r="CD1281" s="50"/>
      <c r="CE1281" s="50"/>
      <c r="CF1281" s="50"/>
      <c r="CG1281" s="50"/>
      <c r="CH1281" s="50"/>
      <c r="CI1281" s="50"/>
      <c r="CJ1281" s="50"/>
      <c r="CK1281" s="50"/>
      <c r="CL1281" s="50"/>
      <c r="CM1281" s="50"/>
      <c r="CN1281" s="50"/>
      <c r="CO1281" s="50"/>
      <c r="CP1281" s="50"/>
      <c r="CQ1281" s="50"/>
      <c r="CR1281" s="50"/>
      <c r="CS1281" s="50"/>
    </row>
    <row r="1282" spans="1:97" ht="15" thickBot="1">
      <c r="A1282" s="49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111"/>
      <c r="O1282" s="111"/>
      <c r="P1282" s="111"/>
      <c r="Q1282" s="111"/>
      <c r="R1282" s="111"/>
      <c r="S1282" s="111"/>
      <c r="T1282" s="111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1"/>
      <c r="AF1282" s="111"/>
      <c r="AG1282" s="111"/>
      <c r="AH1282" s="111"/>
      <c r="AI1282" s="111"/>
      <c r="AJ1282" s="111"/>
      <c r="AK1282" s="111"/>
      <c r="AL1282" s="111"/>
      <c r="AM1282" s="111"/>
      <c r="AN1282" s="111"/>
      <c r="AO1282" s="111"/>
      <c r="AP1282" s="111"/>
      <c r="AQ1282" s="111"/>
      <c r="AR1282" s="111"/>
      <c r="AS1282" s="111"/>
      <c r="AT1282" s="111"/>
      <c r="AU1282" s="111"/>
      <c r="AV1282" s="50"/>
      <c r="AW1282" s="50"/>
      <c r="AX1282" s="50"/>
      <c r="AY1282" s="50"/>
      <c r="AZ1282" s="50"/>
      <c r="BA1282" s="50"/>
      <c r="BB1282" s="50"/>
      <c r="BC1282" s="50"/>
      <c r="BD1282" s="50"/>
      <c r="BE1282" s="50"/>
      <c r="BF1282" s="50"/>
      <c r="BG1282" s="50"/>
      <c r="BH1282" s="50"/>
      <c r="BI1282" s="50"/>
      <c r="BJ1282" s="50"/>
      <c r="BK1282" s="50"/>
      <c r="BL1282" s="50"/>
      <c r="BM1282" s="50"/>
      <c r="BN1282" s="50"/>
      <c r="BO1282" s="50"/>
      <c r="BP1282" s="50"/>
      <c r="BQ1282" s="50"/>
      <c r="BR1282" s="50"/>
      <c r="BS1282" s="111"/>
      <c r="BT1282" s="50"/>
      <c r="BU1282" s="50"/>
      <c r="BV1282" s="50"/>
      <c r="BW1282" s="50"/>
      <c r="BX1282" s="50"/>
      <c r="BY1282" s="50"/>
      <c r="BZ1282" s="50"/>
      <c r="CA1282" s="50"/>
      <c r="CB1282" s="50"/>
      <c r="CC1282" s="50"/>
      <c r="CD1282" s="50"/>
      <c r="CE1282" s="50"/>
      <c r="CF1282" s="50"/>
      <c r="CG1282" s="50"/>
      <c r="CH1282" s="50"/>
      <c r="CI1282" s="50"/>
      <c r="CJ1282" s="50"/>
      <c r="CK1282" s="50"/>
      <c r="CL1282" s="50"/>
      <c r="CM1282" s="50"/>
      <c r="CN1282" s="50"/>
      <c r="CO1282" s="50"/>
      <c r="CP1282" s="50"/>
      <c r="CQ1282" s="50"/>
      <c r="CR1282" s="50"/>
      <c r="CS1282" s="50"/>
    </row>
    <row r="1283" spans="1:97" ht="15" thickBot="1">
      <c r="A1283" s="49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111"/>
      <c r="O1283" s="111"/>
      <c r="P1283" s="111"/>
      <c r="Q1283" s="111"/>
      <c r="R1283" s="111"/>
      <c r="S1283" s="111"/>
      <c r="T1283" s="111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1"/>
      <c r="AF1283" s="111"/>
      <c r="AG1283" s="111"/>
      <c r="AH1283" s="111"/>
      <c r="AI1283" s="111"/>
      <c r="AJ1283" s="111"/>
      <c r="AK1283" s="111"/>
      <c r="AL1283" s="111"/>
      <c r="AM1283" s="111"/>
      <c r="AN1283" s="111"/>
      <c r="AO1283" s="111"/>
      <c r="AP1283" s="111"/>
      <c r="AQ1283" s="111"/>
      <c r="AR1283" s="111"/>
      <c r="AS1283" s="111"/>
      <c r="AT1283" s="111"/>
      <c r="AU1283" s="111"/>
      <c r="AV1283" s="50"/>
      <c r="AW1283" s="50"/>
      <c r="AX1283" s="50"/>
      <c r="AY1283" s="50"/>
      <c r="AZ1283" s="50"/>
      <c r="BA1283" s="50"/>
      <c r="BB1283" s="50"/>
      <c r="BC1283" s="50"/>
      <c r="BD1283" s="50"/>
      <c r="BE1283" s="50"/>
      <c r="BF1283" s="50"/>
      <c r="BG1283" s="50"/>
      <c r="BH1283" s="50"/>
      <c r="BI1283" s="50"/>
      <c r="BJ1283" s="50"/>
      <c r="BK1283" s="50"/>
      <c r="BL1283" s="50"/>
      <c r="BM1283" s="50"/>
      <c r="BN1283" s="50"/>
      <c r="BO1283" s="50"/>
      <c r="BP1283" s="50"/>
      <c r="BQ1283" s="50"/>
      <c r="BR1283" s="50"/>
      <c r="BS1283" s="111"/>
      <c r="BT1283" s="50"/>
      <c r="BU1283" s="50"/>
      <c r="BV1283" s="50"/>
      <c r="BW1283" s="50"/>
      <c r="BX1283" s="50"/>
      <c r="BY1283" s="50"/>
      <c r="BZ1283" s="50"/>
      <c r="CA1283" s="50"/>
      <c r="CB1283" s="50"/>
      <c r="CC1283" s="50"/>
      <c r="CD1283" s="50"/>
      <c r="CE1283" s="50"/>
      <c r="CF1283" s="50"/>
      <c r="CG1283" s="50"/>
      <c r="CH1283" s="50"/>
      <c r="CI1283" s="50"/>
      <c r="CJ1283" s="50"/>
      <c r="CK1283" s="50"/>
      <c r="CL1283" s="50"/>
      <c r="CM1283" s="50"/>
      <c r="CN1283" s="50"/>
      <c r="CO1283" s="50"/>
      <c r="CP1283" s="50"/>
      <c r="CQ1283" s="50"/>
      <c r="CR1283" s="50"/>
      <c r="CS1283" s="50"/>
    </row>
    <row r="1284" spans="1:97" ht="15" thickBot="1">
      <c r="A1284" s="49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111"/>
      <c r="O1284" s="111"/>
      <c r="P1284" s="111"/>
      <c r="Q1284" s="111"/>
      <c r="R1284" s="111"/>
      <c r="S1284" s="111"/>
      <c r="T1284" s="111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1"/>
      <c r="AF1284" s="111"/>
      <c r="AG1284" s="111"/>
      <c r="AH1284" s="111"/>
      <c r="AI1284" s="111"/>
      <c r="AJ1284" s="111"/>
      <c r="AK1284" s="111"/>
      <c r="AL1284" s="111"/>
      <c r="AM1284" s="111"/>
      <c r="AN1284" s="111"/>
      <c r="AO1284" s="111"/>
      <c r="AP1284" s="111"/>
      <c r="AQ1284" s="111"/>
      <c r="AR1284" s="111"/>
      <c r="AS1284" s="111"/>
      <c r="AT1284" s="111"/>
      <c r="AU1284" s="111"/>
      <c r="AV1284" s="50"/>
      <c r="AW1284" s="50"/>
      <c r="AX1284" s="50"/>
      <c r="AY1284" s="50"/>
      <c r="AZ1284" s="50"/>
      <c r="BA1284" s="50"/>
      <c r="BB1284" s="50"/>
      <c r="BC1284" s="50"/>
      <c r="BD1284" s="50"/>
      <c r="BE1284" s="50"/>
      <c r="BF1284" s="50"/>
      <c r="BG1284" s="50"/>
      <c r="BH1284" s="50"/>
      <c r="BI1284" s="50"/>
      <c r="BJ1284" s="50"/>
      <c r="BK1284" s="50"/>
      <c r="BL1284" s="50"/>
      <c r="BM1284" s="50"/>
      <c r="BN1284" s="50"/>
      <c r="BO1284" s="50"/>
      <c r="BP1284" s="50"/>
      <c r="BQ1284" s="50"/>
      <c r="BR1284" s="50"/>
      <c r="BS1284" s="111"/>
      <c r="BT1284" s="50"/>
      <c r="BU1284" s="50"/>
      <c r="BV1284" s="50"/>
      <c r="BW1284" s="50"/>
      <c r="BX1284" s="50"/>
      <c r="BY1284" s="50"/>
      <c r="BZ1284" s="50"/>
      <c r="CA1284" s="50"/>
      <c r="CB1284" s="50"/>
      <c r="CC1284" s="50"/>
      <c r="CD1284" s="50"/>
      <c r="CE1284" s="50"/>
      <c r="CF1284" s="50"/>
      <c r="CG1284" s="50"/>
      <c r="CH1284" s="50"/>
      <c r="CI1284" s="50"/>
      <c r="CJ1284" s="50"/>
      <c r="CK1284" s="50"/>
      <c r="CL1284" s="50"/>
      <c r="CM1284" s="50"/>
      <c r="CN1284" s="50"/>
      <c r="CO1284" s="50"/>
      <c r="CP1284" s="50"/>
      <c r="CQ1284" s="50"/>
      <c r="CR1284" s="50"/>
      <c r="CS1284" s="50"/>
    </row>
    <row r="1285" spans="1:97" ht="15" thickBot="1">
      <c r="A1285" s="49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111"/>
      <c r="O1285" s="111"/>
      <c r="P1285" s="111"/>
      <c r="Q1285" s="111"/>
      <c r="R1285" s="111"/>
      <c r="S1285" s="111"/>
      <c r="T1285" s="111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1"/>
      <c r="AF1285" s="111"/>
      <c r="AG1285" s="111"/>
      <c r="AH1285" s="111"/>
      <c r="AI1285" s="111"/>
      <c r="AJ1285" s="111"/>
      <c r="AK1285" s="111"/>
      <c r="AL1285" s="111"/>
      <c r="AM1285" s="111"/>
      <c r="AN1285" s="111"/>
      <c r="AO1285" s="111"/>
      <c r="AP1285" s="111"/>
      <c r="AQ1285" s="111"/>
      <c r="AR1285" s="111"/>
      <c r="AS1285" s="111"/>
      <c r="AT1285" s="111"/>
      <c r="AU1285" s="111"/>
      <c r="AV1285" s="50"/>
      <c r="AW1285" s="50"/>
      <c r="AX1285" s="50"/>
      <c r="AY1285" s="50"/>
      <c r="AZ1285" s="50"/>
      <c r="BA1285" s="50"/>
      <c r="BB1285" s="50"/>
      <c r="BC1285" s="50"/>
      <c r="BD1285" s="50"/>
      <c r="BE1285" s="50"/>
      <c r="BF1285" s="50"/>
      <c r="BG1285" s="50"/>
      <c r="BH1285" s="50"/>
      <c r="BI1285" s="50"/>
      <c r="BJ1285" s="50"/>
      <c r="BK1285" s="50"/>
      <c r="BL1285" s="50"/>
      <c r="BM1285" s="50"/>
      <c r="BN1285" s="50"/>
      <c r="BO1285" s="50"/>
      <c r="BP1285" s="50"/>
      <c r="BQ1285" s="50"/>
      <c r="BR1285" s="50"/>
      <c r="BS1285" s="111"/>
      <c r="BT1285" s="50"/>
      <c r="BU1285" s="50"/>
      <c r="BV1285" s="50"/>
      <c r="BW1285" s="50"/>
      <c r="BX1285" s="50"/>
      <c r="BY1285" s="50"/>
      <c r="BZ1285" s="50"/>
      <c r="CA1285" s="50"/>
      <c r="CB1285" s="50"/>
      <c r="CC1285" s="50"/>
      <c r="CD1285" s="50"/>
      <c r="CE1285" s="50"/>
      <c r="CF1285" s="50"/>
      <c r="CG1285" s="50"/>
      <c r="CH1285" s="50"/>
      <c r="CI1285" s="50"/>
      <c r="CJ1285" s="50"/>
      <c r="CK1285" s="50"/>
      <c r="CL1285" s="50"/>
      <c r="CM1285" s="50"/>
      <c r="CN1285" s="50"/>
      <c r="CO1285" s="50"/>
      <c r="CP1285" s="50"/>
      <c r="CQ1285" s="50"/>
      <c r="CR1285" s="50"/>
      <c r="CS1285" s="50"/>
    </row>
    <row r="1286" spans="1:97" ht="15" thickBot="1">
      <c r="A1286" s="49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111"/>
      <c r="O1286" s="111"/>
      <c r="P1286" s="111"/>
      <c r="Q1286" s="111"/>
      <c r="R1286" s="111"/>
      <c r="S1286" s="111"/>
      <c r="T1286" s="111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1"/>
      <c r="AF1286" s="111"/>
      <c r="AG1286" s="111"/>
      <c r="AH1286" s="111"/>
      <c r="AI1286" s="111"/>
      <c r="AJ1286" s="111"/>
      <c r="AK1286" s="111"/>
      <c r="AL1286" s="111"/>
      <c r="AM1286" s="111"/>
      <c r="AN1286" s="111"/>
      <c r="AO1286" s="111"/>
      <c r="AP1286" s="111"/>
      <c r="AQ1286" s="111"/>
      <c r="AR1286" s="111"/>
      <c r="AS1286" s="111"/>
      <c r="AT1286" s="111"/>
      <c r="AU1286" s="111"/>
      <c r="AV1286" s="50"/>
      <c r="AW1286" s="50"/>
      <c r="AX1286" s="50"/>
      <c r="AY1286" s="50"/>
      <c r="AZ1286" s="50"/>
      <c r="BA1286" s="50"/>
      <c r="BB1286" s="50"/>
      <c r="BC1286" s="50"/>
      <c r="BD1286" s="50"/>
      <c r="BE1286" s="50"/>
      <c r="BF1286" s="50"/>
      <c r="BG1286" s="50"/>
      <c r="BH1286" s="50"/>
      <c r="BI1286" s="50"/>
      <c r="BJ1286" s="50"/>
      <c r="BK1286" s="50"/>
      <c r="BL1286" s="50"/>
      <c r="BM1286" s="50"/>
      <c r="BN1286" s="50"/>
      <c r="BO1286" s="50"/>
      <c r="BP1286" s="50"/>
      <c r="BQ1286" s="50"/>
      <c r="BR1286" s="50"/>
      <c r="BS1286" s="111"/>
      <c r="BT1286" s="50"/>
      <c r="BU1286" s="50"/>
      <c r="BV1286" s="50"/>
      <c r="BW1286" s="50"/>
      <c r="BX1286" s="50"/>
      <c r="BY1286" s="50"/>
      <c r="BZ1286" s="50"/>
      <c r="CA1286" s="50"/>
      <c r="CB1286" s="50"/>
      <c r="CC1286" s="50"/>
      <c r="CD1286" s="50"/>
      <c r="CE1286" s="50"/>
      <c r="CF1286" s="50"/>
      <c r="CG1286" s="50"/>
      <c r="CH1286" s="50"/>
      <c r="CI1286" s="50"/>
      <c r="CJ1286" s="50"/>
      <c r="CK1286" s="50"/>
      <c r="CL1286" s="50"/>
      <c r="CM1286" s="50"/>
      <c r="CN1286" s="50"/>
      <c r="CO1286" s="50"/>
      <c r="CP1286" s="50"/>
      <c r="CQ1286" s="50"/>
      <c r="CR1286" s="50"/>
      <c r="CS1286" s="50"/>
    </row>
    <row r="1287" spans="1:97" ht="15" thickBot="1">
      <c r="A1287" s="49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111"/>
      <c r="O1287" s="111"/>
      <c r="P1287" s="111"/>
      <c r="Q1287" s="111"/>
      <c r="R1287" s="111"/>
      <c r="S1287" s="111"/>
      <c r="T1287" s="111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1"/>
      <c r="AF1287" s="111"/>
      <c r="AG1287" s="111"/>
      <c r="AH1287" s="111"/>
      <c r="AI1287" s="111"/>
      <c r="AJ1287" s="111"/>
      <c r="AK1287" s="111"/>
      <c r="AL1287" s="111"/>
      <c r="AM1287" s="111"/>
      <c r="AN1287" s="111"/>
      <c r="AO1287" s="111"/>
      <c r="AP1287" s="111"/>
      <c r="AQ1287" s="111"/>
      <c r="AR1287" s="111"/>
      <c r="AS1287" s="111"/>
      <c r="AT1287" s="111"/>
      <c r="AU1287" s="111"/>
      <c r="AV1287" s="50"/>
      <c r="AW1287" s="50"/>
      <c r="AX1287" s="50"/>
      <c r="AY1287" s="50"/>
      <c r="AZ1287" s="50"/>
      <c r="BA1287" s="50"/>
      <c r="BB1287" s="50"/>
      <c r="BC1287" s="50"/>
      <c r="BD1287" s="50"/>
      <c r="BE1287" s="50"/>
      <c r="BF1287" s="50"/>
      <c r="BG1287" s="50"/>
      <c r="BH1287" s="50"/>
      <c r="BI1287" s="50"/>
      <c r="BJ1287" s="50"/>
      <c r="BK1287" s="50"/>
      <c r="BL1287" s="50"/>
      <c r="BM1287" s="50"/>
      <c r="BN1287" s="50"/>
      <c r="BO1287" s="50"/>
      <c r="BP1287" s="50"/>
      <c r="BQ1287" s="50"/>
      <c r="BR1287" s="50"/>
      <c r="BS1287" s="111"/>
      <c r="BT1287" s="50"/>
      <c r="BU1287" s="50"/>
      <c r="BV1287" s="50"/>
      <c r="BW1287" s="50"/>
      <c r="BX1287" s="50"/>
      <c r="BY1287" s="50"/>
      <c r="BZ1287" s="50"/>
      <c r="CA1287" s="50"/>
      <c r="CB1287" s="50"/>
      <c r="CC1287" s="50"/>
      <c r="CD1287" s="50"/>
      <c r="CE1287" s="50"/>
      <c r="CF1287" s="50"/>
      <c r="CG1287" s="50"/>
      <c r="CH1287" s="50"/>
      <c r="CI1287" s="50"/>
      <c r="CJ1287" s="50"/>
      <c r="CK1287" s="50"/>
      <c r="CL1287" s="50"/>
      <c r="CM1287" s="50"/>
      <c r="CN1287" s="50"/>
      <c r="CO1287" s="50"/>
      <c r="CP1287" s="50"/>
      <c r="CQ1287" s="50"/>
      <c r="CR1287" s="50"/>
      <c r="CS1287" s="50"/>
    </row>
    <row r="1288" spans="1:97" ht="15" thickBot="1">
      <c r="A1288" s="49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111"/>
      <c r="O1288" s="111"/>
      <c r="P1288" s="111"/>
      <c r="Q1288" s="111"/>
      <c r="R1288" s="111"/>
      <c r="S1288" s="111"/>
      <c r="T1288" s="111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1"/>
      <c r="AF1288" s="111"/>
      <c r="AG1288" s="111"/>
      <c r="AH1288" s="111"/>
      <c r="AI1288" s="111"/>
      <c r="AJ1288" s="111"/>
      <c r="AK1288" s="111"/>
      <c r="AL1288" s="111"/>
      <c r="AM1288" s="111"/>
      <c r="AN1288" s="111"/>
      <c r="AO1288" s="111"/>
      <c r="AP1288" s="111"/>
      <c r="AQ1288" s="111"/>
      <c r="AR1288" s="111"/>
      <c r="AS1288" s="111"/>
      <c r="AT1288" s="111"/>
      <c r="AU1288" s="111"/>
      <c r="AV1288" s="50"/>
      <c r="AW1288" s="50"/>
      <c r="AX1288" s="50"/>
      <c r="AY1288" s="50"/>
      <c r="AZ1288" s="50"/>
      <c r="BA1288" s="50"/>
      <c r="BB1288" s="50"/>
      <c r="BC1288" s="50"/>
      <c r="BD1288" s="50"/>
      <c r="BE1288" s="50"/>
      <c r="BF1288" s="50"/>
      <c r="BG1288" s="50"/>
      <c r="BH1288" s="50"/>
      <c r="BI1288" s="50"/>
      <c r="BJ1288" s="50"/>
      <c r="BK1288" s="50"/>
      <c r="BL1288" s="50"/>
      <c r="BM1288" s="50"/>
      <c r="BN1288" s="50"/>
      <c r="BO1288" s="50"/>
      <c r="BP1288" s="50"/>
      <c r="BQ1288" s="50"/>
      <c r="BR1288" s="50"/>
      <c r="BS1288" s="111"/>
      <c r="BT1288" s="50"/>
      <c r="BU1288" s="50"/>
      <c r="BV1288" s="50"/>
      <c r="BW1288" s="50"/>
      <c r="BX1288" s="50"/>
      <c r="BY1288" s="50"/>
      <c r="BZ1288" s="50"/>
      <c r="CA1288" s="50"/>
      <c r="CB1288" s="50"/>
      <c r="CC1288" s="50"/>
      <c r="CD1288" s="50"/>
      <c r="CE1288" s="50"/>
      <c r="CF1288" s="50"/>
      <c r="CG1288" s="50"/>
      <c r="CH1288" s="50"/>
      <c r="CI1288" s="50"/>
      <c r="CJ1288" s="50"/>
      <c r="CK1288" s="50"/>
      <c r="CL1288" s="50"/>
      <c r="CM1288" s="50"/>
      <c r="CN1288" s="50"/>
      <c r="CO1288" s="50"/>
      <c r="CP1288" s="50"/>
      <c r="CQ1288" s="50"/>
      <c r="CR1288" s="50"/>
      <c r="CS1288" s="50"/>
    </row>
    <row r="1289" spans="1:97" ht="15" thickBot="1">
      <c r="A1289" s="49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111"/>
      <c r="O1289" s="111"/>
      <c r="P1289" s="111"/>
      <c r="Q1289" s="111"/>
      <c r="R1289" s="111"/>
      <c r="S1289" s="111"/>
      <c r="T1289" s="111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1"/>
      <c r="AF1289" s="111"/>
      <c r="AG1289" s="111"/>
      <c r="AH1289" s="111"/>
      <c r="AI1289" s="111"/>
      <c r="AJ1289" s="111"/>
      <c r="AK1289" s="111"/>
      <c r="AL1289" s="111"/>
      <c r="AM1289" s="111"/>
      <c r="AN1289" s="111"/>
      <c r="AO1289" s="111"/>
      <c r="AP1289" s="111"/>
      <c r="AQ1289" s="111"/>
      <c r="AR1289" s="111"/>
      <c r="AS1289" s="111"/>
      <c r="AT1289" s="111"/>
      <c r="AU1289" s="111"/>
      <c r="AV1289" s="50"/>
      <c r="AW1289" s="50"/>
      <c r="AX1289" s="50"/>
      <c r="AY1289" s="50"/>
      <c r="AZ1289" s="50"/>
      <c r="BA1289" s="50"/>
      <c r="BB1289" s="50"/>
      <c r="BC1289" s="50"/>
      <c r="BD1289" s="50"/>
      <c r="BE1289" s="50"/>
      <c r="BF1289" s="50"/>
      <c r="BG1289" s="50"/>
      <c r="BH1289" s="50"/>
      <c r="BI1289" s="50"/>
      <c r="BJ1289" s="50"/>
      <c r="BK1289" s="50"/>
      <c r="BL1289" s="50"/>
      <c r="BM1289" s="50"/>
      <c r="BN1289" s="50"/>
      <c r="BO1289" s="50"/>
      <c r="BP1289" s="50"/>
      <c r="BQ1289" s="50"/>
      <c r="BR1289" s="50"/>
      <c r="BS1289" s="111"/>
      <c r="BT1289" s="50"/>
      <c r="BU1289" s="50"/>
      <c r="BV1289" s="50"/>
      <c r="BW1289" s="50"/>
      <c r="BX1289" s="50"/>
      <c r="BY1289" s="50"/>
      <c r="BZ1289" s="50"/>
      <c r="CA1289" s="50"/>
      <c r="CB1289" s="50"/>
      <c r="CC1289" s="50"/>
      <c r="CD1289" s="50"/>
      <c r="CE1289" s="50"/>
      <c r="CF1289" s="50"/>
      <c r="CG1289" s="50"/>
      <c r="CH1289" s="50"/>
      <c r="CI1289" s="50"/>
      <c r="CJ1289" s="50"/>
      <c r="CK1289" s="50"/>
      <c r="CL1289" s="50"/>
      <c r="CM1289" s="50"/>
      <c r="CN1289" s="50"/>
      <c r="CO1289" s="50"/>
      <c r="CP1289" s="50"/>
      <c r="CQ1289" s="50"/>
      <c r="CR1289" s="50"/>
      <c r="CS1289" s="50"/>
    </row>
    <row r="1290" spans="1:97" ht="15" thickBot="1">
      <c r="A1290" s="49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111"/>
      <c r="O1290" s="111"/>
      <c r="P1290" s="111"/>
      <c r="Q1290" s="111"/>
      <c r="R1290" s="111"/>
      <c r="S1290" s="111"/>
      <c r="T1290" s="111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1"/>
      <c r="AF1290" s="111"/>
      <c r="AG1290" s="111"/>
      <c r="AH1290" s="111"/>
      <c r="AI1290" s="111"/>
      <c r="AJ1290" s="111"/>
      <c r="AK1290" s="111"/>
      <c r="AL1290" s="111"/>
      <c r="AM1290" s="111"/>
      <c r="AN1290" s="111"/>
      <c r="AO1290" s="111"/>
      <c r="AP1290" s="111"/>
      <c r="AQ1290" s="111"/>
      <c r="AR1290" s="111"/>
      <c r="AS1290" s="111"/>
      <c r="AT1290" s="111"/>
      <c r="AU1290" s="111"/>
      <c r="AV1290" s="50"/>
      <c r="AW1290" s="50"/>
      <c r="AX1290" s="50"/>
      <c r="AY1290" s="50"/>
      <c r="AZ1290" s="50"/>
      <c r="BA1290" s="50"/>
      <c r="BB1290" s="50"/>
      <c r="BC1290" s="50"/>
      <c r="BD1290" s="50"/>
      <c r="BE1290" s="50"/>
      <c r="BF1290" s="50"/>
      <c r="BG1290" s="50"/>
      <c r="BH1290" s="50"/>
      <c r="BI1290" s="50"/>
      <c r="BJ1290" s="50"/>
      <c r="BK1290" s="50"/>
      <c r="BL1290" s="50"/>
      <c r="BM1290" s="50"/>
      <c r="BN1290" s="50"/>
      <c r="BO1290" s="50"/>
      <c r="BP1290" s="50"/>
      <c r="BQ1290" s="50"/>
      <c r="BR1290" s="50"/>
      <c r="BS1290" s="111"/>
      <c r="BT1290" s="50"/>
      <c r="BU1290" s="50"/>
      <c r="BV1290" s="50"/>
      <c r="BW1290" s="50"/>
      <c r="BX1290" s="50"/>
      <c r="BY1290" s="50"/>
      <c r="BZ1290" s="50"/>
      <c r="CA1290" s="50"/>
      <c r="CB1290" s="50"/>
      <c r="CC1290" s="50"/>
      <c r="CD1290" s="50"/>
      <c r="CE1290" s="50"/>
      <c r="CF1290" s="50"/>
      <c r="CG1290" s="50"/>
      <c r="CH1290" s="50"/>
      <c r="CI1290" s="50"/>
      <c r="CJ1290" s="50"/>
      <c r="CK1290" s="50"/>
      <c r="CL1290" s="50"/>
      <c r="CM1290" s="50"/>
      <c r="CN1290" s="50"/>
      <c r="CO1290" s="50"/>
      <c r="CP1290" s="50"/>
      <c r="CQ1290" s="50"/>
      <c r="CR1290" s="50"/>
      <c r="CS1290" s="50"/>
    </row>
    <row r="1291" spans="1:97" ht="15" thickBot="1">
      <c r="A1291" s="49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111"/>
      <c r="O1291" s="111"/>
      <c r="P1291" s="111"/>
      <c r="Q1291" s="111"/>
      <c r="R1291" s="111"/>
      <c r="S1291" s="111"/>
      <c r="T1291" s="111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1"/>
      <c r="AF1291" s="111"/>
      <c r="AG1291" s="111"/>
      <c r="AH1291" s="111"/>
      <c r="AI1291" s="111"/>
      <c r="AJ1291" s="111"/>
      <c r="AK1291" s="111"/>
      <c r="AL1291" s="111"/>
      <c r="AM1291" s="111"/>
      <c r="AN1291" s="111"/>
      <c r="AO1291" s="111"/>
      <c r="AP1291" s="111"/>
      <c r="AQ1291" s="111"/>
      <c r="AR1291" s="111"/>
      <c r="AS1291" s="111"/>
      <c r="AT1291" s="111"/>
      <c r="AU1291" s="111"/>
      <c r="AV1291" s="50"/>
      <c r="AW1291" s="50"/>
      <c r="AX1291" s="50"/>
      <c r="AY1291" s="50"/>
      <c r="AZ1291" s="50"/>
      <c r="BA1291" s="50"/>
      <c r="BB1291" s="50"/>
      <c r="BC1291" s="50"/>
      <c r="BD1291" s="50"/>
      <c r="BE1291" s="50"/>
      <c r="BF1291" s="50"/>
      <c r="BG1291" s="50"/>
      <c r="BH1291" s="50"/>
      <c r="BI1291" s="50"/>
      <c r="BJ1291" s="50"/>
      <c r="BK1291" s="50"/>
      <c r="BL1291" s="50"/>
      <c r="BM1291" s="50"/>
      <c r="BN1291" s="50"/>
      <c r="BO1291" s="50"/>
      <c r="BP1291" s="50"/>
      <c r="BQ1291" s="50"/>
      <c r="BR1291" s="50"/>
      <c r="BS1291" s="111"/>
      <c r="BT1291" s="50"/>
      <c r="BU1291" s="50"/>
      <c r="BV1291" s="50"/>
      <c r="BW1291" s="50"/>
      <c r="BX1291" s="50"/>
      <c r="BY1291" s="50"/>
      <c r="BZ1291" s="50"/>
      <c r="CA1291" s="50"/>
      <c r="CB1291" s="50"/>
      <c r="CC1291" s="50"/>
      <c r="CD1291" s="50"/>
      <c r="CE1291" s="50"/>
      <c r="CF1291" s="50"/>
      <c r="CG1291" s="50"/>
      <c r="CH1291" s="50"/>
      <c r="CI1291" s="50"/>
      <c r="CJ1291" s="50"/>
      <c r="CK1291" s="50"/>
      <c r="CL1291" s="50"/>
      <c r="CM1291" s="50"/>
      <c r="CN1291" s="50"/>
      <c r="CO1291" s="50"/>
      <c r="CP1291" s="50"/>
      <c r="CQ1291" s="50"/>
      <c r="CR1291" s="50"/>
      <c r="CS1291" s="50"/>
    </row>
    <row r="1292" spans="1:97" ht="15" thickBot="1">
      <c r="A1292" s="49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111"/>
      <c r="O1292" s="111"/>
      <c r="P1292" s="111"/>
      <c r="Q1292" s="111"/>
      <c r="R1292" s="111"/>
      <c r="S1292" s="111"/>
      <c r="T1292" s="111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1"/>
      <c r="AF1292" s="111"/>
      <c r="AG1292" s="111"/>
      <c r="AH1292" s="111"/>
      <c r="AI1292" s="111"/>
      <c r="AJ1292" s="111"/>
      <c r="AK1292" s="111"/>
      <c r="AL1292" s="111"/>
      <c r="AM1292" s="111"/>
      <c r="AN1292" s="111"/>
      <c r="AO1292" s="111"/>
      <c r="AP1292" s="111"/>
      <c r="AQ1292" s="111"/>
      <c r="AR1292" s="111"/>
      <c r="AS1292" s="111"/>
      <c r="AT1292" s="111"/>
      <c r="AU1292" s="111"/>
      <c r="AV1292" s="50"/>
      <c r="AW1292" s="50"/>
      <c r="AX1292" s="50"/>
      <c r="AY1292" s="50"/>
      <c r="AZ1292" s="50"/>
      <c r="BA1292" s="50"/>
      <c r="BB1292" s="50"/>
      <c r="BC1292" s="50"/>
      <c r="BD1292" s="50"/>
      <c r="BE1292" s="50"/>
      <c r="BF1292" s="50"/>
      <c r="BG1292" s="50"/>
      <c r="BH1292" s="50"/>
      <c r="BI1292" s="50"/>
      <c r="BJ1292" s="50"/>
      <c r="BK1292" s="50"/>
      <c r="BL1292" s="50"/>
      <c r="BM1292" s="50"/>
      <c r="BN1292" s="50"/>
      <c r="BO1292" s="50"/>
      <c r="BP1292" s="50"/>
      <c r="BQ1292" s="50"/>
      <c r="BR1292" s="50"/>
      <c r="BS1292" s="111"/>
      <c r="BT1292" s="50"/>
      <c r="BU1292" s="50"/>
      <c r="BV1292" s="50"/>
      <c r="BW1292" s="50"/>
      <c r="BX1292" s="50"/>
      <c r="BY1292" s="50"/>
      <c r="BZ1292" s="50"/>
      <c r="CA1292" s="50"/>
      <c r="CB1292" s="50"/>
      <c r="CC1292" s="50"/>
      <c r="CD1292" s="50"/>
      <c r="CE1292" s="50"/>
      <c r="CF1292" s="50"/>
      <c r="CG1292" s="50"/>
      <c r="CH1292" s="50"/>
      <c r="CI1292" s="50"/>
      <c r="CJ1292" s="50"/>
      <c r="CK1292" s="50"/>
      <c r="CL1292" s="50"/>
      <c r="CM1292" s="50"/>
      <c r="CN1292" s="50"/>
      <c r="CO1292" s="50"/>
      <c r="CP1292" s="50"/>
      <c r="CQ1292" s="50"/>
      <c r="CR1292" s="50"/>
      <c r="CS1292" s="50"/>
    </row>
    <row r="1293" spans="1:97" ht="15" thickBot="1">
      <c r="A1293" s="49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111"/>
      <c r="O1293" s="111"/>
      <c r="P1293" s="111"/>
      <c r="Q1293" s="111"/>
      <c r="R1293" s="111"/>
      <c r="S1293" s="111"/>
      <c r="T1293" s="111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1"/>
      <c r="AF1293" s="111"/>
      <c r="AG1293" s="111"/>
      <c r="AH1293" s="111"/>
      <c r="AI1293" s="111"/>
      <c r="AJ1293" s="111"/>
      <c r="AK1293" s="111"/>
      <c r="AL1293" s="111"/>
      <c r="AM1293" s="111"/>
      <c r="AN1293" s="111"/>
      <c r="AO1293" s="111"/>
      <c r="AP1293" s="111"/>
      <c r="AQ1293" s="111"/>
      <c r="AR1293" s="111"/>
      <c r="AS1293" s="111"/>
      <c r="AT1293" s="111"/>
      <c r="AU1293" s="111"/>
      <c r="AV1293" s="50"/>
      <c r="AW1293" s="50"/>
      <c r="AX1293" s="50"/>
      <c r="AY1293" s="50"/>
      <c r="AZ1293" s="50"/>
      <c r="BA1293" s="50"/>
      <c r="BB1293" s="50"/>
      <c r="BC1293" s="50"/>
      <c r="BD1293" s="50"/>
      <c r="BE1293" s="50"/>
      <c r="BF1293" s="50"/>
      <c r="BG1293" s="50"/>
      <c r="BH1293" s="50"/>
      <c r="BI1293" s="50"/>
      <c r="BJ1293" s="50"/>
      <c r="BK1293" s="50"/>
      <c r="BL1293" s="50"/>
      <c r="BM1293" s="50"/>
      <c r="BN1293" s="50"/>
      <c r="BO1293" s="50"/>
      <c r="BP1293" s="50"/>
      <c r="BQ1293" s="50"/>
      <c r="BR1293" s="50"/>
      <c r="BS1293" s="111"/>
      <c r="BT1293" s="50"/>
      <c r="BU1293" s="50"/>
      <c r="BV1293" s="50"/>
      <c r="BW1293" s="50"/>
      <c r="BX1293" s="50"/>
      <c r="BY1293" s="50"/>
      <c r="BZ1293" s="50"/>
      <c r="CA1293" s="50"/>
      <c r="CB1293" s="50"/>
      <c r="CC1293" s="50"/>
      <c r="CD1293" s="50"/>
      <c r="CE1293" s="50"/>
      <c r="CF1293" s="50"/>
      <c r="CG1293" s="50"/>
      <c r="CH1293" s="50"/>
      <c r="CI1293" s="50"/>
      <c r="CJ1293" s="50"/>
      <c r="CK1293" s="50"/>
      <c r="CL1293" s="50"/>
      <c r="CM1293" s="50"/>
      <c r="CN1293" s="50"/>
      <c r="CO1293" s="50"/>
      <c r="CP1293" s="50"/>
      <c r="CQ1293" s="50"/>
      <c r="CR1293" s="50"/>
      <c r="CS1293" s="50"/>
    </row>
    <row r="1294" spans="1:97" ht="15" thickBot="1">
      <c r="A1294" s="49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111"/>
      <c r="O1294" s="111"/>
      <c r="P1294" s="111"/>
      <c r="Q1294" s="111"/>
      <c r="R1294" s="111"/>
      <c r="S1294" s="111"/>
      <c r="T1294" s="111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1"/>
      <c r="AF1294" s="111"/>
      <c r="AG1294" s="111"/>
      <c r="AH1294" s="111"/>
      <c r="AI1294" s="111"/>
      <c r="AJ1294" s="111"/>
      <c r="AK1294" s="111"/>
      <c r="AL1294" s="111"/>
      <c r="AM1294" s="111"/>
      <c r="AN1294" s="111"/>
      <c r="AO1294" s="111"/>
      <c r="AP1294" s="111"/>
      <c r="AQ1294" s="111"/>
      <c r="AR1294" s="111"/>
      <c r="AS1294" s="111"/>
      <c r="AT1294" s="111"/>
      <c r="AU1294" s="111"/>
      <c r="AV1294" s="50"/>
      <c r="AW1294" s="50"/>
      <c r="AX1294" s="50"/>
      <c r="AY1294" s="50"/>
      <c r="AZ1294" s="50"/>
      <c r="BA1294" s="50"/>
      <c r="BB1294" s="50"/>
      <c r="BC1294" s="50"/>
      <c r="BD1294" s="50"/>
      <c r="BE1294" s="50"/>
      <c r="BF1294" s="50"/>
      <c r="BG1294" s="50"/>
      <c r="BH1294" s="50"/>
      <c r="BI1294" s="50"/>
      <c r="BJ1294" s="50"/>
      <c r="BK1294" s="50"/>
      <c r="BL1294" s="50"/>
      <c r="BM1294" s="50"/>
      <c r="BN1294" s="50"/>
      <c r="BO1294" s="50"/>
      <c r="BP1294" s="50"/>
      <c r="BQ1294" s="50"/>
      <c r="BR1294" s="50"/>
      <c r="BS1294" s="111"/>
      <c r="BT1294" s="50"/>
      <c r="BU1294" s="50"/>
      <c r="BV1294" s="50"/>
      <c r="BW1294" s="50"/>
      <c r="BX1294" s="50"/>
      <c r="BY1294" s="50"/>
      <c r="BZ1294" s="50"/>
      <c r="CA1294" s="50"/>
      <c r="CB1294" s="50"/>
      <c r="CC1294" s="50"/>
      <c r="CD1294" s="50"/>
      <c r="CE1294" s="50"/>
      <c r="CF1294" s="50"/>
      <c r="CG1294" s="50"/>
      <c r="CH1294" s="50"/>
      <c r="CI1294" s="50"/>
      <c r="CJ1294" s="50"/>
      <c r="CK1294" s="50"/>
      <c r="CL1294" s="50"/>
      <c r="CM1294" s="50"/>
      <c r="CN1294" s="50"/>
      <c r="CO1294" s="50"/>
      <c r="CP1294" s="50"/>
      <c r="CQ1294" s="50"/>
      <c r="CR1294" s="50"/>
      <c r="CS1294" s="50"/>
    </row>
    <row r="1295" spans="1:97" ht="15" thickBot="1">
      <c r="A1295" s="49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111"/>
      <c r="O1295" s="111"/>
      <c r="P1295" s="111"/>
      <c r="Q1295" s="111"/>
      <c r="R1295" s="111"/>
      <c r="S1295" s="111"/>
      <c r="T1295" s="111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1"/>
      <c r="AF1295" s="111"/>
      <c r="AG1295" s="111"/>
      <c r="AH1295" s="111"/>
      <c r="AI1295" s="111"/>
      <c r="AJ1295" s="111"/>
      <c r="AK1295" s="111"/>
      <c r="AL1295" s="111"/>
      <c r="AM1295" s="111"/>
      <c r="AN1295" s="111"/>
      <c r="AO1295" s="111"/>
      <c r="AP1295" s="111"/>
      <c r="AQ1295" s="111"/>
      <c r="AR1295" s="111"/>
      <c r="AS1295" s="111"/>
      <c r="AT1295" s="111"/>
      <c r="AU1295" s="111"/>
      <c r="AV1295" s="50"/>
      <c r="AW1295" s="50"/>
      <c r="AX1295" s="50"/>
      <c r="AY1295" s="50"/>
      <c r="AZ1295" s="50"/>
      <c r="BA1295" s="50"/>
      <c r="BB1295" s="50"/>
      <c r="BC1295" s="50"/>
      <c r="BD1295" s="50"/>
      <c r="BE1295" s="50"/>
      <c r="BF1295" s="50"/>
      <c r="BG1295" s="50"/>
      <c r="BH1295" s="50"/>
      <c r="BI1295" s="50"/>
      <c r="BJ1295" s="50"/>
      <c r="BK1295" s="50"/>
      <c r="BL1295" s="50"/>
      <c r="BM1295" s="50"/>
      <c r="BN1295" s="50"/>
      <c r="BO1295" s="50"/>
      <c r="BP1295" s="50"/>
      <c r="BQ1295" s="50"/>
      <c r="BR1295" s="50"/>
      <c r="BS1295" s="111"/>
      <c r="BT1295" s="50"/>
      <c r="BU1295" s="50"/>
      <c r="BV1295" s="50"/>
      <c r="BW1295" s="50"/>
      <c r="BX1295" s="50"/>
      <c r="BY1295" s="50"/>
      <c r="BZ1295" s="50"/>
      <c r="CA1295" s="50"/>
      <c r="CB1295" s="50"/>
      <c r="CC1295" s="50"/>
      <c r="CD1295" s="50"/>
      <c r="CE1295" s="50"/>
      <c r="CF1295" s="50"/>
      <c r="CG1295" s="50"/>
      <c r="CH1295" s="50"/>
      <c r="CI1295" s="50"/>
      <c r="CJ1295" s="50"/>
      <c r="CK1295" s="50"/>
      <c r="CL1295" s="50"/>
      <c r="CM1295" s="50"/>
      <c r="CN1295" s="50"/>
      <c r="CO1295" s="50"/>
      <c r="CP1295" s="50"/>
      <c r="CQ1295" s="50"/>
      <c r="CR1295" s="50"/>
      <c r="CS1295" s="50"/>
    </row>
    <row r="1296" spans="1:97" ht="15" thickBot="1">
      <c r="A1296" s="49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111"/>
      <c r="O1296" s="111"/>
      <c r="P1296" s="111"/>
      <c r="Q1296" s="111"/>
      <c r="R1296" s="111"/>
      <c r="S1296" s="111"/>
      <c r="T1296" s="111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1"/>
      <c r="AF1296" s="111"/>
      <c r="AG1296" s="111"/>
      <c r="AH1296" s="111"/>
      <c r="AI1296" s="111"/>
      <c r="AJ1296" s="111"/>
      <c r="AK1296" s="111"/>
      <c r="AL1296" s="111"/>
      <c r="AM1296" s="111"/>
      <c r="AN1296" s="111"/>
      <c r="AO1296" s="111"/>
      <c r="AP1296" s="111"/>
      <c r="AQ1296" s="111"/>
      <c r="AR1296" s="111"/>
      <c r="AS1296" s="111"/>
      <c r="AT1296" s="111"/>
      <c r="AU1296" s="111"/>
      <c r="AV1296" s="50"/>
      <c r="AW1296" s="50"/>
      <c r="AX1296" s="50"/>
      <c r="AY1296" s="50"/>
      <c r="AZ1296" s="50"/>
      <c r="BA1296" s="50"/>
      <c r="BB1296" s="50"/>
      <c r="BC1296" s="50"/>
      <c r="BD1296" s="50"/>
      <c r="BE1296" s="50"/>
      <c r="BF1296" s="50"/>
      <c r="BG1296" s="50"/>
      <c r="BH1296" s="50"/>
      <c r="BI1296" s="50"/>
      <c r="BJ1296" s="50"/>
      <c r="BK1296" s="50"/>
      <c r="BL1296" s="50"/>
      <c r="BM1296" s="50"/>
      <c r="BN1296" s="50"/>
      <c r="BO1296" s="50"/>
      <c r="BP1296" s="50"/>
      <c r="BQ1296" s="50"/>
      <c r="BR1296" s="50"/>
      <c r="BS1296" s="111"/>
      <c r="BT1296" s="50"/>
      <c r="BU1296" s="50"/>
      <c r="BV1296" s="50"/>
      <c r="BW1296" s="50"/>
      <c r="BX1296" s="50"/>
      <c r="BY1296" s="50"/>
      <c r="BZ1296" s="50"/>
      <c r="CA1296" s="50"/>
      <c r="CB1296" s="50"/>
      <c r="CC1296" s="50"/>
      <c r="CD1296" s="50"/>
      <c r="CE1296" s="50"/>
      <c r="CF1296" s="50"/>
      <c r="CG1296" s="50"/>
      <c r="CH1296" s="50"/>
      <c r="CI1296" s="50"/>
      <c r="CJ1296" s="50"/>
      <c r="CK1296" s="50"/>
      <c r="CL1296" s="50"/>
      <c r="CM1296" s="50"/>
      <c r="CN1296" s="50"/>
      <c r="CO1296" s="50"/>
      <c r="CP1296" s="50"/>
      <c r="CQ1296" s="50"/>
      <c r="CR1296" s="50"/>
      <c r="CS1296" s="50"/>
    </row>
    <row r="1297" spans="1:97" ht="15" thickBot="1">
      <c r="A1297" s="49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111"/>
      <c r="O1297" s="111"/>
      <c r="P1297" s="111"/>
      <c r="Q1297" s="111"/>
      <c r="R1297" s="111"/>
      <c r="S1297" s="111"/>
      <c r="T1297" s="111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1"/>
      <c r="AF1297" s="111"/>
      <c r="AG1297" s="111"/>
      <c r="AH1297" s="111"/>
      <c r="AI1297" s="111"/>
      <c r="AJ1297" s="111"/>
      <c r="AK1297" s="111"/>
      <c r="AL1297" s="111"/>
      <c r="AM1297" s="111"/>
      <c r="AN1297" s="111"/>
      <c r="AO1297" s="111"/>
      <c r="AP1297" s="111"/>
      <c r="AQ1297" s="111"/>
      <c r="AR1297" s="111"/>
      <c r="AS1297" s="111"/>
      <c r="AT1297" s="111"/>
      <c r="AU1297" s="111"/>
      <c r="AV1297" s="50"/>
      <c r="AW1297" s="50"/>
      <c r="AX1297" s="50"/>
      <c r="AY1297" s="50"/>
      <c r="AZ1297" s="50"/>
      <c r="BA1297" s="50"/>
      <c r="BB1297" s="50"/>
      <c r="BC1297" s="50"/>
      <c r="BD1297" s="50"/>
      <c r="BE1297" s="50"/>
      <c r="BF1297" s="50"/>
      <c r="BG1297" s="50"/>
      <c r="BH1297" s="50"/>
      <c r="BI1297" s="50"/>
      <c r="BJ1297" s="50"/>
      <c r="BK1297" s="50"/>
      <c r="BL1297" s="50"/>
      <c r="BM1297" s="50"/>
      <c r="BN1297" s="50"/>
      <c r="BO1297" s="50"/>
      <c r="BP1297" s="50"/>
      <c r="BQ1297" s="50"/>
      <c r="BR1297" s="50"/>
      <c r="BS1297" s="111"/>
      <c r="BT1297" s="50"/>
      <c r="BU1297" s="50"/>
      <c r="BV1297" s="50"/>
      <c r="BW1297" s="50"/>
      <c r="BX1297" s="50"/>
      <c r="BY1297" s="50"/>
      <c r="BZ1297" s="50"/>
      <c r="CA1297" s="50"/>
      <c r="CB1297" s="50"/>
      <c r="CC1297" s="50"/>
      <c r="CD1297" s="50"/>
      <c r="CE1297" s="50"/>
      <c r="CF1297" s="50"/>
      <c r="CG1297" s="50"/>
      <c r="CH1297" s="50"/>
      <c r="CI1297" s="50"/>
      <c r="CJ1297" s="50"/>
      <c r="CK1297" s="50"/>
      <c r="CL1297" s="50"/>
      <c r="CM1297" s="50"/>
      <c r="CN1297" s="50"/>
      <c r="CO1297" s="50"/>
      <c r="CP1297" s="50"/>
      <c r="CQ1297" s="50"/>
      <c r="CR1297" s="50"/>
      <c r="CS1297" s="50"/>
    </row>
    <row r="1298" spans="1:97" ht="15" thickBot="1">
      <c r="A1298" s="49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111"/>
      <c r="O1298" s="111"/>
      <c r="P1298" s="111"/>
      <c r="Q1298" s="111"/>
      <c r="R1298" s="111"/>
      <c r="S1298" s="111"/>
      <c r="T1298" s="111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1"/>
      <c r="AF1298" s="111"/>
      <c r="AG1298" s="111"/>
      <c r="AH1298" s="111"/>
      <c r="AI1298" s="111"/>
      <c r="AJ1298" s="111"/>
      <c r="AK1298" s="111"/>
      <c r="AL1298" s="111"/>
      <c r="AM1298" s="111"/>
      <c r="AN1298" s="111"/>
      <c r="AO1298" s="111"/>
      <c r="AP1298" s="111"/>
      <c r="AQ1298" s="111"/>
      <c r="AR1298" s="111"/>
      <c r="AS1298" s="111"/>
      <c r="AT1298" s="111"/>
      <c r="AU1298" s="111"/>
      <c r="AV1298" s="50"/>
      <c r="AW1298" s="50"/>
      <c r="AX1298" s="50"/>
      <c r="AY1298" s="50"/>
      <c r="AZ1298" s="50"/>
      <c r="BA1298" s="50"/>
      <c r="BB1298" s="50"/>
      <c r="BC1298" s="50"/>
      <c r="BD1298" s="50"/>
      <c r="BE1298" s="50"/>
      <c r="BF1298" s="50"/>
      <c r="BG1298" s="50"/>
      <c r="BH1298" s="50"/>
      <c r="BI1298" s="50"/>
      <c r="BJ1298" s="50"/>
      <c r="BK1298" s="50"/>
      <c r="BL1298" s="50"/>
      <c r="BM1298" s="50"/>
      <c r="BN1298" s="50"/>
      <c r="BO1298" s="50"/>
      <c r="BP1298" s="50"/>
      <c r="BQ1298" s="50"/>
      <c r="BR1298" s="50"/>
      <c r="BS1298" s="111"/>
      <c r="BT1298" s="50"/>
      <c r="BU1298" s="50"/>
      <c r="BV1298" s="50"/>
      <c r="BW1298" s="50"/>
      <c r="BX1298" s="50"/>
      <c r="BY1298" s="50"/>
      <c r="BZ1298" s="50"/>
      <c r="CA1298" s="50"/>
      <c r="CB1298" s="50"/>
      <c r="CC1298" s="50"/>
      <c r="CD1298" s="50"/>
      <c r="CE1298" s="50"/>
      <c r="CF1298" s="50"/>
      <c r="CG1298" s="50"/>
      <c r="CH1298" s="50"/>
      <c r="CI1298" s="50"/>
      <c r="CJ1298" s="50"/>
      <c r="CK1298" s="50"/>
      <c r="CL1298" s="50"/>
      <c r="CM1298" s="50"/>
      <c r="CN1298" s="50"/>
      <c r="CO1298" s="50"/>
      <c r="CP1298" s="50"/>
      <c r="CQ1298" s="50"/>
      <c r="CR1298" s="50"/>
      <c r="CS1298" s="50"/>
    </row>
    <row r="1299" spans="1:97" ht="15" thickBot="1">
      <c r="A1299" s="49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111"/>
      <c r="O1299" s="111"/>
      <c r="P1299" s="111"/>
      <c r="Q1299" s="111"/>
      <c r="R1299" s="111"/>
      <c r="S1299" s="111"/>
      <c r="T1299" s="111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1"/>
      <c r="AF1299" s="111"/>
      <c r="AG1299" s="111"/>
      <c r="AH1299" s="111"/>
      <c r="AI1299" s="111"/>
      <c r="AJ1299" s="111"/>
      <c r="AK1299" s="111"/>
      <c r="AL1299" s="111"/>
      <c r="AM1299" s="111"/>
      <c r="AN1299" s="111"/>
      <c r="AO1299" s="111"/>
      <c r="AP1299" s="111"/>
      <c r="AQ1299" s="111"/>
      <c r="AR1299" s="111"/>
      <c r="AS1299" s="111"/>
      <c r="AT1299" s="111"/>
      <c r="AU1299" s="111"/>
      <c r="AV1299" s="50"/>
      <c r="AW1299" s="50"/>
      <c r="AX1299" s="50"/>
      <c r="AY1299" s="50"/>
      <c r="AZ1299" s="50"/>
      <c r="BA1299" s="50"/>
      <c r="BB1299" s="50"/>
      <c r="BC1299" s="50"/>
      <c r="BD1299" s="50"/>
      <c r="BE1299" s="50"/>
      <c r="BF1299" s="50"/>
      <c r="BG1299" s="50"/>
      <c r="BH1299" s="50"/>
      <c r="BI1299" s="50"/>
      <c r="BJ1299" s="50"/>
      <c r="BK1299" s="50"/>
      <c r="BL1299" s="50"/>
      <c r="BM1299" s="50"/>
      <c r="BN1299" s="50"/>
      <c r="BO1299" s="50"/>
      <c r="BP1299" s="50"/>
      <c r="BQ1299" s="50"/>
      <c r="BR1299" s="50"/>
      <c r="BS1299" s="111"/>
      <c r="BT1299" s="50"/>
      <c r="BU1299" s="50"/>
      <c r="BV1299" s="50"/>
      <c r="BW1299" s="50"/>
      <c r="BX1299" s="50"/>
      <c r="BY1299" s="50"/>
      <c r="BZ1299" s="50"/>
      <c r="CA1299" s="50"/>
      <c r="CB1299" s="50"/>
      <c r="CC1299" s="50"/>
      <c r="CD1299" s="50"/>
      <c r="CE1299" s="50"/>
      <c r="CF1299" s="50"/>
      <c r="CG1299" s="50"/>
      <c r="CH1299" s="50"/>
      <c r="CI1299" s="50"/>
      <c r="CJ1299" s="50"/>
      <c r="CK1299" s="50"/>
      <c r="CL1299" s="50"/>
      <c r="CM1299" s="50"/>
      <c r="CN1299" s="50"/>
      <c r="CO1299" s="50"/>
      <c r="CP1299" s="50"/>
      <c r="CQ1299" s="50"/>
      <c r="CR1299" s="50"/>
      <c r="CS1299" s="50"/>
    </row>
    <row r="1300" spans="1:97" ht="15" thickBot="1">
      <c r="A1300" s="49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111"/>
      <c r="O1300" s="111"/>
      <c r="P1300" s="111"/>
      <c r="Q1300" s="111"/>
      <c r="R1300" s="111"/>
      <c r="S1300" s="111"/>
      <c r="T1300" s="111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1"/>
      <c r="AF1300" s="111"/>
      <c r="AG1300" s="111"/>
      <c r="AH1300" s="111"/>
      <c r="AI1300" s="111"/>
      <c r="AJ1300" s="111"/>
      <c r="AK1300" s="111"/>
      <c r="AL1300" s="111"/>
      <c r="AM1300" s="111"/>
      <c r="AN1300" s="111"/>
      <c r="AO1300" s="111"/>
      <c r="AP1300" s="111"/>
      <c r="AQ1300" s="111"/>
      <c r="AR1300" s="111"/>
      <c r="AS1300" s="111"/>
      <c r="AT1300" s="111"/>
      <c r="AU1300" s="111"/>
      <c r="AV1300" s="50"/>
      <c r="AW1300" s="50"/>
      <c r="AX1300" s="50"/>
      <c r="AY1300" s="50"/>
      <c r="AZ1300" s="50"/>
      <c r="BA1300" s="50"/>
      <c r="BB1300" s="50"/>
      <c r="BC1300" s="50"/>
      <c r="BD1300" s="50"/>
      <c r="BE1300" s="50"/>
      <c r="BF1300" s="50"/>
      <c r="BG1300" s="50"/>
      <c r="BH1300" s="50"/>
      <c r="BI1300" s="50"/>
      <c r="BJ1300" s="50"/>
      <c r="BK1300" s="50"/>
      <c r="BL1300" s="50"/>
      <c r="BM1300" s="50"/>
      <c r="BN1300" s="50"/>
      <c r="BO1300" s="50"/>
      <c r="BP1300" s="50"/>
      <c r="BQ1300" s="50"/>
      <c r="BR1300" s="50"/>
      <c r="BS1300" s="111"/>
      <c r="BT1300" s="50"/>
      <c r="BU1300" s="50"/>
      <c r="BV1300" s="50"/>
      <c r="BW1300" s="50"/>
      <c r="BX1300" s="50"/>
      <c r="BY1300" s="50"/>
      <c r="BZ1300" s="50"/>
      <c r="CA1300" s="50"/>
      <c r="CB1300" s="50"/>
      <c r="CC1300" s="50"/>
      <c r="CD1300" s="50"/>
      <c r="CE1300" s="50"/>
      <c r="CF1300" s="50"/>
      <c r="CG1300" s="50"/>
      <c r="CH1300" s="50"/>
      <c r="CI1300" s="50"/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</row>
    <row r="1301" spans="1:97" ht="15" thickBot="1">
      <c r="A1301" s="49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111"/>
      <c r="O1301" s="111"/>
      <c r="P1301" s="111"/>
      <c r="Q1301" s="111"/>
      <c r="R1301" s="111"/>
      <c r="S1301" s="111"/>
      <c r="T1301" s="111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1"/>
      <c r="AF1301" s="111"/>
      <c r="AG1301" s="111"/>
      <c r="AH1301" s="111"/>
      <c r="AI1301" s="111"/>
      <c r="AJ1301" s="111"/>
      <c r="AK1301" s="111"/>
      <c r="AL1301" s="111"/>
      <c r="AM1301" s="111"/>
      <c r="AN1301" s="111"/>
      <c r="AO1301" s="111"/>
      <c r="AP1301" s="111"/>
      <c r="AQ1301" s="111"/>
      <c r="AR1301" s="111"/>
      <c r="AS1301" s="111"/>
      <c r="AT1301" s="111"/>
      <c r="AU1301" s="111"/>
      <c r="AV1301" s="50"/>
      <c r="AW1301" s="50"/>
      <c r="AX1301" s="50"/>
      <c r="AY1301" s="50"/>
      <c r="AZ1301" s="50"/>
      <c r="BA1301" s="50"/>
      <c r="BB1301" s="50"/>
      <c r="BC1301" s="50"/>
      <c r="BD1301" s="50"/>
      <c r="BE1301" s="50"/>
      <c r="BF1301" s="50"/>
      <c r="BG1301" s="50"/>
      <c r="BH1301" s="50"/>
      <c r="BI1301" s="50"/>
      <c r="BJ1301" s="50"/>
      <c r="BK1301" s="50"/>
      <c r="BL1301" s="50"/>
      <c r="BM1301" s="50"/>
      <c r="BN1301" s="50"/>
      <c r="BO1301" s="50"/>
      <c r="BP1301" s="50"/>
      <c r="BQ1301" s="50"/>
      <c r="BR1301" s="50"/>
      <c r="BS1301" s="111"/>
      <c r="BT1301" s="50"/>
      <c r="BU1301" s="50"/>
      <c r="BV1301" s="50"/>
      <c r="BW1301" s="50"/>
      <c r="BX1301" s="50"/>
      <c r="BY1301" s="50"/>
      <c r="BZ1301" s="50"/>
      <c r="CA1301" s="50"/>
      <c r="CB1301" s="50"/>
      <c r="CC1301" s="50"/>
      <c r="CD1301" s="50"/>
      <c r="CE1301" s="50"/>
      <c r="CF1301" s="50"/>
      <c r="CG1301" s="50"/>
      <c r="CH1301" s="50"/>
      <c r="CI1301" s="50"/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</row>
    <row r="1302" spans="1:97" ht="15" thickBot="1">
      <c r="A1302" s="49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111"/>
      <c r="O1302" s="111"/>
      <c r="P1302" s="111"/>
      <c r="Q1302" s="111"/>
      <c r="R1302" s="111"/>
      <c r="S1302" s="111"/>
      <c r="T1302" s="111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1"/>
      <c r="AF1302" s="111"/>
      <c r="AG1302" s="111"/>
      <c r="AH1302" s="111"/>
      <c r="AI1302" s="111"/>
      <c r="AJ1302" s="111"/>
      <c r="AK1302" s="111"/>
      <c r="AL1302" s="111"/>
      <c r="AM1302" s="111"/>
      <c r="AN1302" s="111"/>
      <c r="AO1302" s="111"/>
      <c r="AP1302" s="111"/>
      <c r="AQ1302" s="111"/>
      <c r="AR1302" s="111"/>
      <c r="AS1302" s="111"/>
      <c r="AT1302" s="111"/>
      <c r="AU1302" s="111"/>
      <c r="AV1302" s="50"/>
      <c r="AW1302" s="50"/>
      <c r="AX1302" s="50"/>
      <c r="AY1302" s="50"/>
      <c r="AZ1302" s="50"/>
      <c r="BA1302" s="50"/>
      <c r="BB1302" s="50"/>
      <c r="BC1302" s="50"/>
      <c r="BD1302" s="50"/>
      <c r="BE1302" s="50"/>
      <c r="BF1302" s="50"/>
      <c r="BG1302" s="50"/>
      <c r="BH1302" s="50"/>
      <c r="BI1302" s="50"/>
      <c r="BJ1302" s="50"/>
      <c r="BK1302" s="50"/>
      <c r="BL1302" s="50"/>
      <c r="BM1302" s="50"/>
      <c r="BN1302" s="50"/>
      <c r="BO1302" s="50"/>
      <c r="BP1302" s="50"/>
      <c r="BQ1302" s="50"/>
      <c r="BR1302" s="50"/>
      <c r="BS1302" s="111"/>
      <c r="BT1302" s="50"/>
      <c r="BU1302" s="50"/>
      <c r="BV1302" s="50"/>
      <c r="BW1302" s="50"/>
      <c r="BX1302" s="50"/>
      <c r="BY1302" s="50"/>
      <c r="BZ1302" s="50"/>
      <c r="CA1302" s="50"/>
      <c r="CB1302" s="50"/>
      <c r="CC1302" s="50"/>
      <c r="CD1302" s="50"/>
      <c r="CE1302" s="50"/>
      <c r="CF1302" s="50"/>
      <c r="CG1302" s="50"/>
      <c r="CH1302" s="50"/>
      <c r="CI1302" s="50"/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</row>
    <row r="1303" spans="1:97" ht="15" thickBot="1">
      <c r="A1303" s="49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111"/>
      <c r="O1303" s="111"/>
      <c r="P1303" s="111"/>
      <c r="Q1303" s="111"/>
      <c r="R1303" s="111"/>
      <c r="S1303" s="111"/>
      <c r="T1303" s="111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1"/>
      <c r="AF1303" s="111"/>
      <c r="AG1303" s="111"/>
      <c r="AH1303" s="111"/>
      <c r="AI1303" s="111"/>
      <c r="AJ1303" s="111"/>
      <c r="AK1303" s="111"/>
      <c r="AL1303" s="111"/>
      <c r="AM1303" s="111"/>
      <c r="AN1303" s="111"/>
      <c r="AO1303" s="111"/>
      <c r="AP1303" s="111"/>
      <c r="AQ1303" s="111"/>
      <c r="AR1303" s="111"/>
      <c r="AS1303" s="111"/>
      <c r="AT1303" s="111"/>
      <c r="AU1303" s="111"/>
      <c r="AV1303" s="50"/>
      <c r="AW1303" s="50"/>
      <c r="AX1303" s="50"/>
      <c r="AY1303" s="50"/>
      <c r="AZ1303" s="50"/>
      <c r="BA1303" s="50"/>
      <c r="BB1303" s="50"/>
      <c r="BC1303" s="50"/>
      <c r="BD1303" s="50"/>
      <c r="BE1303" s="50"/>
      <c r="BF1303" s="50"/>
      <c r="BG1303" s="50"/>
      <c r="BH1303" s="50"/>
      <c r="BI1303" s="50"/>
      <c r="BJ1303" s="50"/>
      <c r="BK1303" s="50"/>
      <c r="BL1303" s="50"/>
      <c r="BM1303" s="50"/>
      <c r="BN1303" s="50"/>
      <c r="BO1303" s="50"/>
      <c r="BP1303" s="50"/>
      <c r="BQ1303" s="50"/>
      <c r="BR1303" s="50"/>
      <c r="BS1303" s="111"/>
      <c r="BT1303" s="50"/>
      <c r="BU1303" s="50"/>
      <c r="BV1303" s="50"/>
      <c r="BW1303" s="50"/>
      <c r="BX1303" s="50"/>
      <c r="BY1303" s="50"/>
      <c r="BZ1303" s="50"/>
      <c r="CA1303" s="50"/>
      <c r="CB1303" s="50"/>
      <c r="CC1303" s="50"/>
      <c r="CD1303" s="50"/>
      <c r="CE1303" s="50"/>
      <c r="CF1303" s="50"/>
      <c r="CG1303" s="50"/>
      <c r="CH1303" s="50"/>
      <c r="CI1303" s="50"/>
      <c r="CJ1303" s="50"/>
      <c r="CK1303" s="50"/>
      <c r="CL1303" s="50"/>
      <c r="CM1303" s="50"/>
      <c r="CN1303" s="50"/>
      <c r="CO1303" s="50"/>
      <c r="CP1303" s="50"/>
      <c r="CQ1303" s="50"/>
      <c r="CR1303" s="50"/>
      <c r="CS1303" s="50"/>
    </row>
    <row r="1304" spans="1:97" ht="15" thickBot="1">
      <c r="A1304" s="49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111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1"/>
      <c r="AF1304" s="111"/>
      <c r="AG1304" s="111"/>
      <c r="AH1304" s="111"/>
      <c r="AI1304" s="111"/>
      <c r="AJ1304" s="111"/>
      <c r="AK1304" s="111"/>
      <c r="AL1304" s="111"/>
      <c r="AM1304" s="111"/>
      <c r="AN1304" s="111"/>
      <c r="AO1304" s="111"/>
      <c r="AP1304" s="111"/>
      <c r="AQ1304" s="111"/>
      <c r="AR1304" s="111"/>
      <c r="AS1304" s="111"/>
      <c r="AT1304" s="111"/>
      <c r="AU1304" s="111"/>
      <c r="AV1304" s="50"/>
      <c r="AW1304" s="50"/>
      <c r="AX1304" s="50"/>
      <c r="AY1304" s="50"/>
      <c r="AZ1304" s="50"/>
      <c r="BA1304" s="50"/>
      <c r="BB1304" s="50"/>
      <c r="BC1304" s="50"/>
      <c r="BD1304" s="50"/>
      <c r="BE1304" s="50"/>
      <c r="BF1304" s="50"/>
      <c r="BG1304" s="50"/>
      <c r="BH1304" s="50"/>
      <c r="BI1304" s="50"/>
      <c r="BJ1304" s="50"/>
      <c r="BK1304" s="50"/>
      <c r="BL1304" s="50"/>
      <c r="BM1304" s="50"/>
      <c r="BN1304" s="50"/>
      <c r="BO1304" s="50"/>
      <c r="BP1304" s="50"/>
      <c r="BQ1304" s="50"/>
      <c r="BR1304" s="50"/>
      <c r="BS1304" s="111"/>
      <c r="BT1304" s="50"/>
      <c r="BU1304" s="50"/>
      <c r="BV1304" s="50"/>
      <c r="BW1304" s="50"/>
      <c r="BX1304" s="50"/>
      <c r="BY1304" s="50"/>
      <c r="BZ1304" s="50"/>
      <c r="CA1304" s="50"/>
      <c r="CB1304" s="50"/>
      <c r="CC1304" s="50"/>
      <c r="CD1304" s="50"/>
      <c r="CE1304" s="50"/>
      <c r="CF1304" s="50"/>
      <c r="CG1304" s="50"/>
      <c r="CH1304" s="50"/>
      <c r="CI1304" s="50"/>
      <c r="CJ1304" s="50"/>
      <c r="CK1304" s="50"/>
      <c r="CL1304" s="50"/>
      <c r="CM1304" s="50"/>
      <c r="CN1304" s="50"/>
      <c r="CO1304" s="50"/>
      <c r="CP1304" s="50"/>
      <c r="CQ1304" s="50"/>
      <c r="CR1304" s="50"/>
      <c r="CS1304" s="50"/>
    </row>
    <row r="1305" spans="1:97" ht="15" thickBot="1">
      <c r="A1305" s="49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111"/>
      <c r="O1305" s="111"/>
      <c r="P1305" s="111"/>
      <c r="Q1305" s="111"/>
      <c r="R1305" s="111"/>
      <c r="S1305" s="111"/>
      <c r="T1305" s="111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1"/>
      <c r="AF1305" s="111"/>
      <c r="AG1305" s="111"/>
      <c r="AH1305" s="111"/>
      <c r="AI1305" s="111"/>
      <c r="AJ1305" s="111"/>
      <c r="AK1305" s="111"/>
      <c r="AL1305" s="111"/>
      <c r="AM1305" s="111"/>
      <c r="AN1305" s="111"/>
      <c r="AO1305" s="111"/>
      <c r="AP1305" s="111"/>
      <c r="AQ1305" s="111"/>
      <c r="AR1305" s="111"/>
      <c r="AS1305" s="111"/>
      <c r="AT1305" s="111"/>
      <c r="AU1305" s="111"/>
      <c r="AV1305" s="50"/>
      <c r="AW1305" s="50"/>
      <c r="AX1305" s="50"/>
      <c r="AY1305" s="50"/>
      <c r="AZ1305" s="50"/>
      <c r="BA1305" s="50"/>
      <c r="BB1305" s="50"/>
      <c r="BC1305" s="50"/>
      <c r="BD1305" s="50"/>
      <c r="BE1305" s="50"/>
      <c r="BF1305" s="50"/>
      <c r="BG1305" s="50"/>
      <c r="BH1305" s="50"/>
      <c r="BI1305" s="50"/>
      <c r="BJ1305" s="50"/>
      <c r="BK1305" s="50"/>
      <c r="BL1305" s="50"/>
      <c r="BM1305" s="50"/>
      <c r="BN1305" s="50"/>
      <c r="BO1305" s="50"/>
      <c r="BP1305" s="50"/>
      <c r="BQ1305" s="50"/>
      <c r="BR1305" s="50"/>
      <c r="BS1305" s="111"/>
      <c r="BT1305" s="50"/>
      <c r="BU1305" s="50"/>
      <c r="BV1305" s="50"/>
      <c r="BW1305" s="50"/>
      <c r="BX1305" s="50"/>
      <c r="BY1305" s="50"/>
      <c r="BZ1305" s="50"/>
      <c r="CA1305" s="50"/>
      <c r="CB1305" s="50"/>
      <c r="CC1305" s="50"/>
      <c r="CD1305" s="50"/>
      <c r="CE1305" s="50"/>
      <c r="CF1305" s="50"/>
      <c r="CG1305" s="50"/>
      <c r="CH1305" s="50"/>
      <c r="CI1305" s="50"/>
      <c r="CJ1305" s="50"/>
      <c r="CK1305" s="50"/>
      <c r="CL1305" s="50"/>
      <c r="CM1305" s="50"/>
      <c r="CN1305" s="50"/>
      <c r="CO1305" s="50"/>
      <c r="CP1305" s="50"/>
      <c r="CQ1305" s="50"/>
      <c r="CR1305" s="50"/>
      <c r="CS1305" s="50"/>
    </row>
    <row r="1306" spans="1:97" ht="15" thickBot="1">
      <c r="A1306" s="49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111"/>
      <c r="O1306" s="111"/>
      <c r="P1306" s="111"/>
      <c r="Q1306" s="111"/>
      <c r="R1306" s="111"/>
      <c r="S1306" s="111"/>
      <c r="T1306" s="111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1"/>
      <c r="AF1306" s="111"/>
      <c r="AG1306" s="111"/>
      <c r="AH1306" s="111"/>
      <c r="AI1306" s="111"/>
      <c r="AJ1306" s="111"/>
      <c r="AK1306" s="111"/>
      <c r="AL1306" s="111"/>
      <c r="AM1306" s="111"/>
      <c r="AN1306" s="111"/>
      <c r="AO1306" s="111"/>
      <c r="AP1306" s="111"/>
      <c r="AQ1306" s="111"/>
      <c r="AR1306" s="111"/>
      <c r="AS1306" s="111"/>
      <c r="AT1306" s="111"/>
      <c r="AU1306" s="111"/>
      <c r="AV1306" s="50"/>
      <c r="AW1306" s="50"/>
      <c r="AX1306" s="50"/>
      <c r="AY1306" s="50"/>
      <c r="AZ1306" s="50"/>
      <c r="BA1306" s="50"/>
      <c r="BB1306" s="50"/>
      <c r="BC1306" s="50"/>
      <c r="BD1306" s="50"/>
      <c r="BE1306" s="50"/>
      <c r="BF1306" s="50"/>
      <c r="BG1306" s="50"/>
      <c r="BH1306" s="50"/>
      <c r="BI1306" s="50"/>
      <c r="BJ1306" s="50"/>
      <c r="BK1306" s="50"/>
      <c r="BL1306" s="50"/>
      <c r="BM1306" s="50"/>
      <c r="BN1306" s="50"/>
      <c r="BO1306" s="50"/>
      <c r="BP1306" s="50"/>
      <c r="BQ1306" s="50"/>
      <c r="BR1306" s="50"/>
      <c r="BS1306" s="111"/>
      <c r="BT1306" s="50"/>
      <c r="BU1306" s="50"/>
      <c r="BV1306" s="50"/>
      <c r="BW1306" s="50"/>
      <c r="BX1306" s="50"/>
      <c r="BY1306" s="50"/>
      <c r="BZ1306" s="50"/>
      <c r="CA1306" s="50"/>
      <c r="CB1306" s="50"/>
      <c r="CC1306" s="50"/>
      <c r="CD1306" s="50"/>
      <c r="CE1306" s="50"/>
      <c r="CF1306" s="50"/>
      <c r="CG1306" s="50"/>
      <c r="CH1306" s="50"/>
      <c r="CI1306" s="50"/>
      <c r="CJ1306" s="50"/>
      <c r="CK1306" s="50"/>
      <c r="CL1306" s="50"/>
      <c r="CM1306" s="50"/>
      <c r="CN1306" s="50"/>
      <c r="CO1306" s="50"/>
      <c r="CP1306" s="50"/>
      <c r="CQ1306" s="50"/>
      <c r="CR1306" s="50"/>
      <c r="CS1306" s="50"/>
    </row>
    <row r="1307" spans="1:97" ht="15" thickBot="1">
      <c r="A1307" s="49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111"/>
      <c r="O1307" s="111"/>
      <c r="P1307" s="111"/>
      <c r="Q1307" s="111"/>
      <c r="R1307" s="111"/>
      <c r="S1307" s="111"/>
      <c r="T1307" s="111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1"/>
      <c r="AF1307" s="111"/>
      <c r="AG1307" s="111"/>
      <c r="AH1307" s="111"/>
      <c r="AI1307" s="111"/>
      <c r="AJ1307" s="111"/>
      <c r="AK1307" s="111"/>
      <c r="AL1307" s="111"/>
      <c r="AM1307" s="111"/>
      <c r="AN1307" s="111"/>
      <c r="AO1307" s="111"/>
      <c r="AP1307" s="111"/>
      <c r="AQ1307" s="111"/>
      <c r="AR1307" s="111"/>
      <c r="AS1307" s="111"/>
      <c r="AT1307" s="111"/>
      <c r="AU1307" s="111"/>
      <c r="AV1307" s="50"/>
      <c r="AW1307" s="50"/>
      <c r="AX1307" s="50"/>
      <c r="AY1307" s="50"/>
      <c r="AZ1307" s="50"/>
      <c r="BA1307" s="50"/>
      <c r="BB1307" s="50"/>
      <c r="BC1307" s="50"/>
      <c r="BD1307" s="50"/>
      <c r="BE1307" s="50"/>
      <c r="BF1307" s="50"/>
      <c r="BG1307" s="50"/>
      <c r="BH1307" s="50"/>
      <c r="BI1307" s="50"/>
      <c r="BJ1307" s="50"/>
      <c r="BK1307" s="50"/>
      <c r="BL1307" s="50"/>
      <c r="BM1307" s="50"/>
      <c r="BN1307" s="50"/>
      <c r="BO1307" s="50"/>
      <c r="BP1307" s="50"/>
      <c r="BQ1307" s="50"/>
      <c r="BR1307" s="50"/>
      <c r="BS1307" s="111"/>
      <c r="BT1307" s="50"/>
      <c r="BU1307" s="50"/>
      <c r="BV1307" s="50"/>
      <c r="BW1307" s="50"/>
      <c r="BX1307" s="50"/>
      <c r="BY1307" s="50"/>
      <c r="BZ1307" s="50"/>
      <c r="CA1307" s="50"/>
      <c r="CB1307" s="50"/>
      <c r="CC1307" s="50"/>
      <c r="CD1307" s="50"/>
      <c r="CE1307" s="50"/>
      <c r="CF1307" s="50"/>
      <c r="CG1307" s="50"/>
      <c r="CH1307" s="50"/>
      <c r="CI1307" s="50"/>
      <c r="CJ1307" s="50"/>
      <c r="CK1307" s="50"/>
      <c r="CL1307" s="50"/>
      <c r="CM1307" s="50"/>
      <c r="CN1307" s="50"/>
      <c r="CO1307" s="50"/>
      <c r="CP1307" s="50"/>
      <c r="CQ1307" s="50"/>
      <c r="CR1307" s="50"/>
      <c r="CS1307" s="50"/>
    </row>
    <row r="1308" spans="1:97" ht="15" thickBot="1">
      <c r="A1308" s="49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111"/>
      <c r="O1308" s="111"/>
      <c r="P1308" s="111"/>
      <c r="Q1308" s="111"/>
      <c r="R1308" s="111"/>
      <c r="S1308" s="111"/>
      <c r="T1308" s="111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1"/>
      <c r="AF1308" s="111"/>
      <c r="AG1308" s="111"/>
      <c r="AH1308" s="111"/>
      <c r="AI1308" s="111"/>
      <c r="AJ1308" s="111"/>
      <c r="AK1308" s="111"/>
      <c r="AL1308" s="111"/>
      <c r="AM1308" s="111"/>
      <c r="AN1308" s="111"/>
      <c r="AO1308" s="111"/>
      <c r="AP1308" s="111"/>
      <c r="AQ1308" s="111"/>
      <c r="AR1308" s="111"/>
      <c r="AS1308" s="111"/>
      <c r="AT1308" s="111"/>
      <c r="AU1308" s="111"/>
      <c r="AV1308" s="50"/>
      <c r="AW1308" s="50"/>
      <c r="AX1308" s="50"/>
      <c r="AY1308" s="50"/>
      <c r="AZ1308" s="50"/>
      <c r="BA1308" s="50"/>
      <c r="BB1308" s="50"/>
      <c r="BC1308" s="50"/>
      <c r="BD1308" s="50"/>
      <c r="BE1308" s="50"/>
      <c r="BF1308" s="50"/>
      <c r="BG1308" s="50"/>
      <c r="BH1308" s="50"/>
      <c r="BI1308" s="50"/>
      <c r="BJ1308" s="50"/>
      <c r="BK1308" s="50"/>
      <c r="BL1308" s="50"/>
      <c r="BM1308" s="50"/>
      <c r="BN1308" s="50"/>
      <c r="BO1308" s="50"/>
      <c r="BP1308" s="50"/>
      <c r="BQ1308" s="50"/>
      <c r="BR1308" s="50"/>
      <c r="BS1308" s="111"/>
      <c r="BT1308" s="50"/>
      <c r="BU1308" s="50"/>
      <c r="BV1308" s="50"/>
      <c r="BW1308" s="50"/>
      <c r="BX1308" s="50"/>
      <c r="BY1308" s="50"/>
      <c r="BZ1308" s="50"/>
      <c r="CA1308" s="50"/>
      <c r="CB1308" s="50"/>
      <c r="CC1308" s="50"/>
      <c r="CD1308" s="50"/>
      <c r="CE1308" s="50"/>
      <c r="CF1308" s="50"/>
      <c r="CG1308" s="50"/>
      <c r="CH1308" s="50"/>
      <c r="CI1308" s="50"/>
      <c r="CJ1308" s="50"/>
      <c r="CK1308" s="50"/>
      <c r="CL1308" s="50"/>
      <c r="CM1308" s="50"/>
      <c r="CN1308" s="50"/>
      <c r="CO1308" s="50"/>
      <c r="CP1308" s="50"/>
      <c r="CQ1308" s="50"/>
      <c r="CR1308" s="50"/>
      <c r="CS1308" s="50"/>
    </row>
    <row r="1309" spans="1:97" ht="15" thickBot="1">
      <c r="A1309" s="49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111"/>
      <c r="O1309" s="111"/>
      <c r="P1309" s="111"/>
      <c r="Q1309" s="111"/>
      <c r="R1309" s="111"/>
      <c r="S1309" s="111"/>
      <c r="T1309" s="111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1"/>
      <c r="AF1309" s="111"/>
      <c r="AG1309" s="111"/>
      <c r="AH1309" s="111"/>
      <c r="AI1309" s="111"/>
      <c r="AJ1309" s="111"/>
      <c r="AK1309" s="111"/>
      <c r="AL1309" s="111"/>
      <c r="AM1309" s="111"/>
      <c r="AN1309" s="111"/>
      <c r="AO1309" s="111"/>
      <c r="AP1309" s="111"/>
      <c r="AQ1309" s="111"/>
      <c r="AR1309" s="111"/>
      <c r="AS1309" s="111"/>
      <c r="AT1309" s="111"/>
      <c r="AU1309" s="111"/>
      <c r="AV1309" s="50"/>
      <c r="AW1309" s="50"/>
      <c r="AX1309" s="50"/>
      <c r="AY1309" s="50"/>
      <c r="AZ1309" s="50"/>
      <c r="BA1309" s="50"/>
      <c r="BB1309" s="50"/>
      <c r="BC1309" s="50"/>
      <c r="BD1309" s="50"/>
      <c r="BE1309" s="50"/>
      <c r="BF1309" s="50"/>
      <c r="BG1309" s="50"/>
      <c r="BH1309" s="50"/>
      <c r="BI1309" s="50"/>
      <c r="BJ1309" s="50"/>
      <c r="BK1309" s="50"/>
      <c r="BL1309" s="50"/>
      <c r="BM1309" s="50"/>
      <c r="BN1309" s="50"/>
      <c r="BO1309" s="50"/>
      <c r="BP1309" s="50"/>
      <c r="BQ1309" s="50"/>
      <c r="BR1309" s="50"/>
      <c r="BS1309" s="111"/>
      <c r="BT1309" s="50"/>
      <c r="BU1309" s="50"/>
      <c r="BV1309" s="50"/>
      <c r="BW1309" s="50"/>
      <c r="BX1309" s="50"/>
      <c r="BY1309" s="50"/>
      <c r="BZ1309" s="50"/>
      <c r="CA1309" s="50"/>
      <c r="CB1309" s="50"/>
      <c r="CC1309" s="50"/>
      <c r="CD1309" s="50"/>
      <c r="CE1309" s="50"/>
      <c r="CF1309" s="50"/>
      <c r="CG1309" s="50"/>
      <c r="CH1309" s="50"/>
      <c r="CI1309" s="50"/>
      <c r="CJ1309" s="50"/>
      <c r="CK1309" s="50"/>
      <c r="CL1309" s="50"/>
      <c r="CM1309" s="50"/>
      <c r="CN1309" s="50"/>
      <c r="CO1309" s="50"/>
      <c r="CP1309" s="50"/>
      <c r="CQ1309" s="50"/>
      <c r="CR1309" s="50"/>
      <c r="CS1309" s="50"/>
    </row>
    <row r="1310" spans="1:97" ht="15" thickBot="1">
      <c r="A1310" s="49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111"/>
      <c r="O1310" s="111"/>
      <c r="P1310" s="111"/>
      <c r="Q1310" s="111"/>
      <c r="R1310" s="111"/>
      <c r="S1310" s="111"/>
      <c r="T1310" s="111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1"/>
      <c r="AF1310" s="111"/>
      <c r="AG1310" s="111"/>
      <c r="AH1310" s="111"/>
      <c r="AI1310" s="111"/>
      <c r="AJ1310" s="111"/>
      <c r="AK1310" s="111"/>
      <c r="AL1310" s="111"/>
      <c r="AM1310" s="111"/>
      <c r="AN1310" s="111"/>
      <c r="AO1310" s="111"/>
      <c r="AP1310" s="111"/>
      <c r="AQ1310" s="111"/>
      <c r="AR1310" s="111"/>
      <c r="AS1310" s="111"/>
      <c r="AT1310" s="111"/>
      <c r="AU1310" s="111"/>
      <c r="AV1310" s="50"/>
      <c r="AW1310" s="50"/>
      <c r="AX1310" s="50"/>
      <c r="AY1310" s="50"/>
      <c r="AZ1310" s="50"/>
      <c r="BA1310" s="50"/>
      <c r="BB1310" s="50"/>
      <c r="BC1310" s="50"/>
      <c r="BD1310" s="50"/>
      <c r="BE1310" s="50"/>
      <c r="BF1310" s="50"/>
      <c r="BG1310" s="50"/>
      <c r="BH1310" s="50"/>
      <c r="BI1310" s="50"/>
      <c r="BJ1310" s="50"/>
      <c r="BK1310" s="50"/>
      <c r="BL1310" s="50"/>
      <c r="BM1310" s="50"/>
      <c r="BN1310" s="50"/>
      <c r="BO1310" s="50"/>
      <c r="BP1310" s="50"/>
      <c r="BQ1310" s="50"/>
      <c r="BR1310" s="50"/>
      <c r="BS1310" s="111"/>
      <c r="BT1310" s="50"/>
      <c r="BU1310" s="50"/>
      <c r="BV1310" s="50"/>
      <c r="BW1310" s="50"/>
      <c r="BX1310" s="50"/>
      <c r="BY1310" s="50"/>
      <c r="BZ1310" s="50"/>
      <c r="CA1310" s="50"/>
      <c r="CB1310" s="50"/>
      <c r="CC1310" s="50"/>
      <c r="CD1310" s="50"/>
      <c r="CE1310" s="50"/>
      <c r="CF1310" s="50"/>
      <c r="CG1310" s="50"/>
      <c r="CH1310" s="50"/>
      <c r="CI1310" s="50"/>
      <c r="CJ1310" s="50"/>
      <c r="CK1310" s="50"/>
      <c r="CL1310" s="50"/>
      <c r="CM1310" s="50"/>
      <c r="CN1310" s="50"/>
      <c r="CO1310" s="50"/>
      <c r="CP1310" s="50"/>
      <c r="CQ1310" s="50"/>
      <c r="CR1310" s="50"/>
      <c r="CS1310" s="50"/>
    </row>
    <row r="1311" spans="1:97" ht="15" thickBot="1">
      <c r="A1311" s="49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111"/>
      <c r="O1311" s="111"/>
      <c r="P1311" s="111"/>
      <c r="Q1311" s="111"/>
      <c r="R1311" s="111"/>
      <c r="S1311" s="111"/>
      <c r="T1311" s="111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1"/>
      <c r="AF1311" s="111"/>
      <c r="AG1311" s="111"/>
      <c r="AH1311" s="111"/>
      <c r="AI1311" s="111"/>
      <c r="AJ1311" s="111"/>
      <c r="AK1311" s="111"/>
      <c r="AL1311" s="111"/>
      <c r="AM1311" s="111"/>
      <c r="AN1311" s="111"/>
      <c r="AO1311" s="111"/>
      <c r="AP1311" s="111"/>
      <c r="AQ1311" s="111"/>
      <c r="AR1311" s="111"/>
      <c r="AS1311" s="111"/>
      <c r="AT1311" s="111"/>
      <c r="AU1311" s="111"/>
      <c r="AV1311" s="50"/>
      <c r="AW1311" s="50"/>
      <c r="AX1311" s="50"/>
      <c r="AY1311" s="50"/>
      <c r="AZ1311" s="50"/>
      <c r="BA1311" s="50"/>
      <c r="BB1311" s="50"/>
      <c r="BC1311" s="50"/>
      <c r="BD1311" s="50"/>
      <c r="BE1311" s="50"/>
      <c r="BF1311" s="50"/>
      <c r="BG1311" s="50"/>
      <c r="BH1311" s="50"/>
      <c r="BI1311" s="50"/>
      <c r="BJ1311" s="50"/>
      <c r="BK1311" s="50"/>
      <c r="BL1311" s="50"/>
      <c r="BM1311" s="50"/>
      <c r="BN1311" s="50"/>
      <c r="BO1311" s="50"/>
      <c r="BP1311" s="50"/>
      <c r="BQ1311" s="50"/>
      <c r="BR1311" s="50"/>
      <c r="BS1311" s="111"/>
      <c r="BT1311" s="50"/>
      <c r="BU1311" s="50"/>
      <c r="BV1311" s="50"/>
      <c r="BW1311" s="50"/>
      <c r="BX1311" s="50"/>
      <c r="BY1311" s="50"/>
      <c r="BZ1311" s="50"/>
      <c r="CA1311" s="50"/>
      <c r="CB1311" s="50"/>
      <c r="CC1311" s="50"/>
      <c r="CD1311" s="50"/>
      <c r="CE1311" s="50"/>
      <c r="CF1311" s="50"/>
      <c r="CG1311" s="50"/>
      <c r="CH1311" s="50"/>
      <c r="CI1311" s="50"/>
      <c r="CJ1311" s="50"/>
      <c r="CK1311" s="50"/>
      <c r="CL1311" s="50"/>
      <c r="CM1311" s="50"/>
      <c r="CN1311" s="50"/>
      <c r="CO1311" s="50"/>
      <c r="CP1311" s="50"/>
      <c r="CQ1311" s="50"/>
      <c r="CR1311" s="50"/>
      <c r="CS1311" s="50"/>
    </row>
    <row r="1312" spans="1:97" ht="15" thickBot="1">
      <c r="A1312" s="49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111"/>
      <c r="O1312" s="111"/>
      <c r="P1312" s="111"/>
      <c r="Q1312" s="111"/>
      <c r="R1312" s="111"/>
      <c r="S1312" s="111"/>
      <c r="T1312" s="111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1"/>
      <c r="AF1312" s="111"/>
      <c r="AG1312" s="111"/>
      <c r="AH1312" s="111"/>
      <c r="AI1312" s="111"/>
      <c r="AJ1312" s="111"/>
      <c r="AK1312" s="111"/>
      <c r="AL1312" s="111"/>
      <c r="AM1312" s="111"/>
      <c r="AN1312" s="111"/>
      <c r="AO1312" s="111"/>
      <c r="AP1312" s="111"/>
      <c r="AQ1312" s="111"/>
      <c r="AR1312" s="111"/>
      <c r="AS1312" s="111"/>
      <c r="AT1312" s="111"/>
      <c r="AU1312" s="111"/>
      <c r="AV1312" s="50"/>
      <c r="AW1312" s="50"/>
      <c r="AX1312" s="50"/>
      <c r="AY1312" s="50"/>
      <c r="AZ1312" s="50"/>
      <c r="BA1312" s="50"/>
      <c r="BB1312" s="50"/>
      <c r="BC1312" s="50"/>
      <c r="BD1312" s="50"/>
      <c r="BE1312" s="50"/>
      <c r="BF1312" s="50"/>
      <c r="BG1312" s="50"/>
      <c r="BH1312" s="50"/>
      <c r="BI1312" s="50"/>
      <c r="BJ1312" s="50"/>
      <c r="BK1312" s="50"/>
      <c r="BL1312" s="50"/>
      <c r="BM1312" s="50"/>
      <c r="BN1312" s="50"/>
      <c r="BO1312" s="50"/>
      <c r="BP1312" s="50"/>
      <c r="BQ1312" s="50"/>
      <c r="BR1312" s="50"/>
      <c r="BS1312" s="111"/>
      <c r="BT1312" s="50"/>
      <c r="BU1312" s="50"/>
      <c r="BV1312" s="50"/>
      <c r="BW1312" s="50"/>
      <c r="BX1312" s="50"/>
      <c r="BY1312" s="50"/>
      <c r="BZ1312" s="50"/>
      <c r="CA1312" s="50"/>
      <c r="CB1312" s="50"/>
      <c r="CC1312" s="50"/>
      <c r="CD1312" s="50"/>
      <c r="CE1312" s="50"/>
      <c r="CF1312" s="50"/>
      <c r="CG1312" s="50"/>
      <c r="CH1312" s="50"/>
      <c r="CI1312" s="50"/>
      <c r="CJ1312" s="50"/>
      <c r="CK1312" s="50"/>
      <c r="CL1312" s="50"/>
      <c r="CM1312" s="50"/>
      <c r="CN1312" s="50"/>
      <c r="CO1312" s="50"/>
      <c r="CP1312" s="50"/>
      <c r="CQ1312" s="50"/>
      <c r="CR1312" s="50"/>
      <c r="CS1312" s="50"/>
    </row>
    <row r="1313" spans="1:97" ht="15" thickBot="1">
      <c r="A1313" s="49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111"/>
      <c r="O1313" s="111"/>
      <c r="P1313" s="111"/>
      <c r="Q1313" s="111"/>
      <c r="R1313" s="111"/>
      <c r="S1313" s="111"/>
      <c r="T1313" s="111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1"/>
      <c r="AF1313" s="111"/>
      <c r="AG1313" s="111"/>
      <c r="AH1313" s="111"/>
      <c r="AI1313" s="111"/>
      <c r="AJ1313" s="111"/>
      <c r="AK1313" s="111"/>
      <c r="AL1313" s="111"/>
      <c r="AM1313" s="111"/>
      <c r="AN1313" s="111"/>
      <c r="AO1313" s="111"/>
      <c r="AP1313" s="111"/>
      <c r="AQ1313" s="111"/>
      <c r="AR1313" s="111"/>
      <c r="AS1313" s="111"/>
      <c r="AT1313" s="111"/>
      <c r="AU1313" s="111"/>
      <c r="AV1313" s="50"/>
      <c r="AW1313" s="50"/>
      <c r="AX1313" s="50"/>
      <c r="AY1313" s="50"/>
      <c r="AZ1313" s="50"/>
      <c r="BA1313" s="50"/>
      <c r="BB1313" s="50"/>
      <c r="BC1313" s="50"/>
      <c r="BD1313" s="50"/>
      <c r="BE1313" s="50"/>
      <c r="BF1313" s="50"/>
      <c r="BG1313" s="50"/>
      <c r="BH1313" s="50"/>
      <c r="BI1313" s="50"/>
      <c r="BJ1313" s="50"/>
      <c r="BK1313" s="50"/>
      <c r="BL1313" s="50"/>
      <c r="BM1313" s="50"/>
      <c r="BN1313" s="50"/>
      <c r="BO1313" s="50"/>
      <c r="BP1313" s="50"/>
      <c r="BQ1313" s="50"/>
      <c r="BR1313" s="50"/>
      <c r="BS1313" s="111"/>
      <c r="BT1313" s="50"/>
      <c r="BU1313" s="50"/>
      <c r="BV1313" s="50"/>
      <c r="BW1313" s="50"/>
      <c r="BX1313" s="50"/>
      <c r="BY1313" s="50"/>
      <c r="BZ1313" s="50"/>
      <c r="CA1313" s="50"/>
      <c r="CB1313" s="50"/>
      <c r="CC1313" s="50"/>
      <c r="CD1313" s="50"/>
      <c r="CE1313" s="50"/>
      <c r="CF1313" s="50"/>
      <c r="CG1313" s="50"/>
      <c r="CH1313" s="50"/>
      <c r="CI1313" s="50"/>
      <c r="CJ1313" s="50"/>
      <c r="CK1313" s="50"/>
      <c r="CL1313" s="50"/>
      <c r="CM1313" s="50"/>
      <c r="CN1313" s="50"/>
      <c r="CO1313" s="50"/>
      <c r="CP1313" s="50"/>
      <c r="CQ1313" s="50"/>
      <c r="CR1313" s="50"/>
      <c r="CS1313" s="50"/>
    </row>
    <row r="1314" spans="1:97" ht="15" thickBot="1">
      <c r="A1314" s="49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111"/>
      <c r="O1314" s="111"/>
      <c r="P1314" s="111"/>
      <c r="Q1314" s="111"/>
      <c r="R1314" s="111"/>
      <c r="S1314" s="111"/>
      <c r="T1314" s="111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1"/>
      <c r="AF1314" s="111"/>
      <c r="AG1314" s="111"/>
      <c r="AH1314" s="111"/>
      <c r="AI1314" s="111"/>
      <c r="AJ1314" s="111"/>
      <c r="AK1314" s="111"/>
      <c r="AL1314" s="111"/>
      <c r="AM1314" s="111"/>
      <c r="AN1314" s="111"/>
      <c r="AO1314" s="111"/>
      <c r="AP1314" s="111"/>
      <c r="AQ1314" s="111"/>
      <c r="AR1314" s="111"/>
      <c r="AS1314" s="111"/>
      <c r="AT1314" s="111"/>
      <c r="AU1314" s="111"/>
      <c r="AV1314" s="50"/>
      <c r="AW1314" s="50"/>
      <c r="AX1314" s="50"/>
      <c r="AY1314" s="50"/>
      <c r="AZ1314" s="50"/>
      <c r="BA1314" s="50"/>
      <c r="BB1314" s="50"/>
      <c r="BC1314" s="50"/>
      <c r="BD1314" s="50"/>
      <c r="BE1314" s="50"/>
      <c r="BF1314" s="50"/>
      <c r="BG1314" s="50"/>
      <c r="BH1314" s="50"/>
      <c r="BI1314" s="50"/>
      <c r="BJ1314" s="50"/>
      <c r="BK1314" s="50"/>
      <c r="BL1314" s="50"/>
      <c r="BM1314" s="50"/>
      <c r="BN1314" s="50"/>
      <c r="BO1314" s="50"/>
      <c r="BP1314" s="50"/>
      <c r="BQ1314" s="50"/>
      <c r="BR1314" s="50"/>
      <c r="BS1314" s="111"/>
      <c r="BT1314" s="50"/>
      <c r="BU1314" s="50"/>
      <c r="BV1314" s="50"/>
      <c r="BW1314" s="50"/>
      <c r="BX1314" s="50"/>
      <c r="BY1314" s="50"/>
      <c r="BZ1314" s="50"/>
      <c r="CA1314" s="50"/>
      <c r="CB1314" s="50"/>
      <c r="CC1314" s="50"/>
      <c r="CD1314" s="50"/>
      <c r="CE1314" s="50"/>
      <c r="CF1314" s="50"/>
      <c r="CG1314" s="50"/>
      <c r="CH1314" s="50"/>
      <c r="CI1314" s="50"/>
      <c r="CJ1314" s="50"/>
      <c r="CK1314" s="50"/>
      <c r="CL1314" s="50"/>
      <c r="CM1314" s="50"/>
      <c r="CN1314" s="50"/>
      <c r="CO1314" s="50"/>
      <c r="CP1314" s="50"/>
      <c r="CQ1314" s="50"/>
      <c r="CR1314" s="50"/>
      <c r="CS1314" s="50"/>
    </row>
    <row r="1315" spans="1:97" ht="15" thickBot="1">
      <c r="A1315" s="49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111"/>
      <c r="O1315" s="111"/>
      <c r="P1315" s="111"/>
      <c r="Q1315" s="111"/>
      <c r="R1315" s="111"/>
      <c r="S1315" s="111"/>
      <c r="T1315" s="111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1"/>
      <c r="AF1315" s="111"/>
      <c r="AG1315" s="111"/>
      <c r="AH1315" s="111"/>
      <c r="AI1315" s="111"/>
      <c r="AJ1315" s="111"/>
      <c r="AK1315" s="111"/>
      <c r="AL1315" s="111"/>
      <c r="AM1315" s="111"/>
      <c r="AN1315" s="111"/>
      <c r="AO1315" s="111"/>
      <c r="AP1315" s="111"/>
      <c r="AQ1315" s="111"/>
      <c r="AR1315" s="111"/>
      <c r="AS1315" s="111"/>
      <c r="AT1315" s="111"/>
      <c r="AU1315" s="111"/>
      <c r="AV1315" s="50"/>
      <c r="AW1315" s="50"/>
      <c r="AX1315" s="50"/>
      <c r="AY1315" s="50"/>
      <c r="AZ1315" s="50"/>
      <c r="BA1315" s="50"/>
      <c r="BB1315" s="50"/>
      <c r="BC1315" s="50"/>
      <c r="BD1315" s="50"/>
      <c r="BE1315" s="50"/>
      <c r="BF1315" s="50"/>
      <c r="BG1315" s="50"/>
      <c r="BH1315" s="50"/>
      <c r="BI1315" s="50"/>
      <c r="BJ1315" s="50"/>
      <c r="BK1315" s="50"/>
      <c r="BL1315" s="50"/>
      <c r="BM1315" s="50"/>
      <c r="BN1315" s="50"/>
      <c r="BO1315" s="50"/>
      <c r="BP1315" s="50"/>
      <c r="BQ1315" s="50"/>
      <c r="BR1315" s="50"/>
      <c r="BS1315" s="111"/>
      <c r="BT1315" s="50"/>
      <c r="BU1315" s="50"/>
      <c r="BV1315" s="50"/>
      <c r="BW1315" s="50"/>
      <c r="BX1315" s="50"/>
      <c r="BY1315" s="50"/>
      <c r="BZ1315" s="50"/>
      <c r="CA1315" s="50"/>
      <c r="CB1315" s="50"/>
      <c r="CC1315" s="50"/>
      <c r="CD1315" s="50"/>
      <c r="CE1315" s="50"/>
      <c r="CF1315" s="50"/>
      <c r="CG1315" s="50"/>
      <c r="CH1315" s="50"/>
      <c r="CI1315" s="50"/>
      <c r="CJ1315" s="50"/>
      <c r="CK1315" s="50"/>
      <c r="CL1315" s="50"/>
      <c r="CM1315" s="50"/>
      <c r="CN1315" s="50"/>
      <c r="CO1315" s="50"/>
      <c r="CP1315" s="50"/>
      <c r="CQ1315" s="50"/>
      <c r="CR1315" s="50"/>
      <c r="CS1315" s="50"/>
    </row>
    <row r="1316" spans="1:97" ht="15" thickBot="1">
      <c r="A1316" s="49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111"/>
      <c r="O1316" s="111"/>
      <c r="P1316" s="111"/>
      <c r="Q1316" s="111"/>
      <c r="R1316" s="111"/>
      <c r="S1316" s="111"/>
      <c r="T1316" s="111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1"/>
      <c r="AF1316" s="111"/>
      <c r="AG1316" s="111"/>
      <c r="AH1316" s="111"/>
      <c r="AI1316" s="111"/>
      <c r="AJ1316" s="111"/>
      <c r="AK1316" s="111"/>
      <c r="AL1316" s="111"/>
      <c r="AM1316" s="111"/>
      <c r="AN1316" s="111"/>
      <c r="AO1316" s="111"/>
      <c r="AP1316" s="111"/>
      <c r="AQ1316" s="111"/>
      <c r="AR1316" s="111"/>
      <c r="AS1316" s="111"/>
      <c r="AT1316" s="111"/>
      <c r="AU1316" s="111"/>
      <c r="AV1316" s="50"/>
      <c r="AW1316" s="50"/>
      <c r="AX1316" s="50"/>
      <c r="AY1316" s="50"/>
      <c r="AZ1316" s="50"/>
      <c r="BA1316" s="50"/>
      <c r="BB1316" s="50"/>
      <c r="BC1316" s="50"/>
      <c r="BD1316" s="50"/>
      <c r="BE1316" s="50"/>
      <c r="BF1316" s="50"/>
      <c r="BG1316" s="50"/>
      <c r="BH1316" s="50"/>
      <c r="BI1316" s="50"/>
      <c r="BJ1316" s="50"/>
      <c r="BK1316" s="50"/>
      <c r="BL1316" s="50"/>
      <c r="BM1316" s="50"/>
      <c r="BN1316" s="50"/>
      <c r="BO1316" s="50"/>
      <c r="BP1316" s="50"/>
      <c r="BQ1316" s="50"/>
      <c r="BR1316" s="50"/>
      <c r="BS1316" s="111"/>
      <c r="BT1316" s="50"/>
      <c r="BU1316" s="50"/>
      <c r="BV1316" s="50"/>
      <c r="BW1316" s="50"/>
      <c r="BX1316" s="50"/>
      <c r="BY1316" s="50"/>
      <c r="BZ1316" s="50"/>
      <c r="CA1316" s="50"/>
      <c r="CB1316" s="50"/>
      <c r="CC1316" s="50"/>
      <c r="CD1316" s="50"/>
      <c r="CE1316" s="50"/>
      <c r="CF1316" s="50"/>
      <c r="CG1316" s="50"/>
      <c r="CH1316" s="50"/>
      <c r="CI1316" s="50"/>
      <c r="CJ1316" s="50"/>
      <c r="CK1316" s="50"/>
      <c r="CL1316" s="50"/>
      <c r="CM1316" s="50"/>
      <c r="CN1316" s="50"/>
      <c r="CO1316" s="50"/>
      <c r="CP1316" s="50"/>
      <c r="CQ1316" s="50"/>
      <c r="CR1316" s="50"/>
      <c r="CS1316" s="50"/>
    </row>
    <row r="1317" spans="1:97" ht="15" thickBot="1">
      <c r="A1317" s="49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111"/>
      <c r="O1317" s="111"/>
      <c r="P1317" s="111"/>
      <c r="Q1317" s="111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1"/>
      <c r="AF1317" s="111"/>
      <c r="AG1317" s="111"/>
      <c r="AH1317" s="111"/>
      <c r="AI1317" s="111"/>
      <c r="AJ1317" s="111"/>
      <c r="AK1317" s="111"/>
      <c r="AL1317" s="111"/>
      <c r="AM1317" s="111"/>
      <c r="AN1317" s="111"/>
      <c r="AO1317" s="111"/>
      <c r="AP1317" s="111"/>
      <c r="AQ1317" s="111"/>
      <c r="AR1317" s="111"/>
      <c r="AS1317" s="111"/>
      <c r="AT1317" s="111"/>
      <c r="AU1317" s="111"/>
      <c r="AV1317" s="50"/>
      <c r="AW1317" s="50"/>
      <c r="AX1317" s="50"/>
      <c r="AY1317" s="50"/>
      <c r="AZ1317" s="50"/>
      <c r="BA1317" s="50"/>
      <c r="BB1317" s="50"/>
      <c r="BC1317" s="50"/>
      <c r="BD1317" s="50"/>
      <c r="BE1317" s="50"/>
      <c r="BF1317" s="50"/>
      <c r="BG1317" s="50"/>
      <c r="BH1317" s="50"/>
      <c r="BI1317" s="50"/>
      <c r="BJ1317" s="50"/>
      <c r="BK1317" s="50"/>
      <c r="BL1317" s="50"/>
      <c r="BM1317" s="50"/>
      <c r="BN1317" s="50"/>
      <c r="BO1317" s="50"/>
      <c r="BP1317" s="50"/>
      <c r="BQ1317" s="50"/>
      <c r="BR1317" s="50"/>
      <c r="BS1317" s="111"/>
      <c r="BT1317" s="50"/>
      <c r="BU1317" s="50"/>
      <c r="BV1317" s="50"/>
      <c r="BW1317" s="50"/>
      <c r="BX1317" s="50"/>
      <c r="BY1317" s="50"/>
      <c r="BZ1317" s="50"/>
      <c r="CA1317" s="50"/>
      <c r="CB1317" s="50"/>
      <c r="CC1317" s="50"/>
      <c r="CD1317" s="50"/>
      <c r="CE1317" s="50"/>
      <c r="CF1317" s="50"/>
      <c r="CG1317" s="50"/>
      <c r="CH1317" s="50"/>
      <c r="CI1317" s="50"/>
      <c r="CJ1317" s="50"/>
      <c r="CK1317" s="50"/>
      <c r="CL1317" s="50"/>
      <c r="CM1317" s="50"/>
      <c r="CN1317" s="50"/>
      <c r="CO1317" s="50"/>
      <c r="CP1317" s="50"/>
      <c r="CQ1317" s="50"/>
      <c r="CR1317" s="50"/>
      <c r="CS1317" s="50"/>
    </row>
    <row r="1318" spans="1:97" ht="15" thickBot="1">
      <c r="A1318" s="49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111"/>
      <c r="O1318" s="111"/>
      <c r="P1318" s="111"/>
      <c r="Q1318" s="111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1"/>
      <c r="AF1318" s="111"/>
      <c r="AG1318" s="111"/>
      <c r="AH1318" s="111"/>
      <c r="AI1318" s="111"/>
      <c r="AJ1318" s="111"/>
      <c r="AK1318" s="111"/>
      <c r="AL1318" s="111"/>
      <c r="AM1318" s="111"/>
      <c r="AN1318" s="111"/>
      <c r="AO1318" s="111"/>
      <c r="AP1318" s="111"/>
      <c r="AQ1318" s="111"/>
      <c r="AR1318" s="111"/>
      <c r="AS1318" s="111"/>
      <c r="AT1318" s="111"/>
      <c r="AU1318" s="111"/>
      <c r="AV1318" s="50"/>
      <c r="AW1318" s="50"/>
      <c r="AX1318" s="50"/>
      <c r="AY1318" s="50"/>
      <c r="AZ1318" s="50"/>
      <c r="BA1318" s="50"/>
      <c r="BB1318" s="50"/>
      <c r="BC1318" s="50"/>
      <c r="BD1318" s="50"/>
      <c r="BE1318" s="50"/>
      <c r="BF1318" s="50"/>
      <c r="BG1318" s="50"/>
      <c r="BH1318" s="50"/>
      <c r="BI1318" s="50"/>
      <c r="BJ1318" s="50"/>
      <c r="BK1318" s="50"/>
      <c r="BL1318" s="50"/>
      <c r="BM1318" s="50"/>
      <c r="BN1318" s="50"/>
      <c r="BO1318" s="50"/>
      <c r="BP1318" s="50"/>
      <c r="BQ1318" s="50"/>
      <c r="BR1318" s="50"/>
      <c r="BS1318" s="111"/>
      <c r="BT1318" s="50"/>
      <c r="BU1318" s="50"/>
      <c r="BV1318" s="50"/>
      <c r="BW1318" s="50"/>
      <c r="BX1318" s="50"/>
      <c r="BY1318" s="50"/>
      <c r="BZ1318" s="50"/>
      <c r="CA1318" s="50"/>
      <c r="CB1318" s="50"/>
      <c r="CC1318" s="50"/>
      <c r="CD1318" s="50"/>
      <c r="CE1318" s="50"/>
      <c r="CF1318" s="50"/>
      <c r="CG1318" s="50"/>
      <c r="CH1318" s="50"/>
      <c r="CI1318" s="50"/>
      <c r="CJ1318" s="50"/>
      <c r="CK1318" s="50"/>
      <c r="CL1318" s="50"/>
      <c r="CM1318" s="50"/>
      <c r="CN1318" s="50"/>
      <c r="CO1318" s="50"/>
      <c r="CP1318" s="50"/>
      <c r="CQ1318" s="50"/>
      <c r="CR1318" s="50"/>
      <c r="CS1318" s="50"/>
    </row>
    <row r="1319" spans="1:97" ht="15" thickBot="1">
      <c r="A1319" s="49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111"/>
      <c r="O1319" s="111"/>
      <c r="P1319" s="111"/>
      <c r="Q1319" s="111"/>
      <c r="R1319" s="111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1"/>
      <c r="AF1319" s="111"/>
      <c r="AG1319" s="111"/>
      <c r="AH1319" s="111"/>
      <c r="AI1319" s="111"/>
      <c r="AJ1319" s="111"/>
      <c r="AK1319" s="111"/>
      <c r="AL1319" s="111"/>
      <c r="AM1319" s="111"/>
      <c r="AN1319" s="111"/>
      <c r="AO1319" s="111"/>
      <c r="AP1319" s="111"/>
      <c r="AQ1319" s="111"/>
      <c r="AR1319" s="111"/>
      <c r="AS1319" s="111"/>
      <c r="AT1319" s="111"/>
      <c r="AU1319" s="111"/>
      <c r="AV1319" s="50"/>
      <c r="AW1319" s="50"/>
      <c r="AX1319" s="50"/>
      <c r="AY1319" s="50"/>
      <c r="AZ1319" s="50"/>
      <c r="BA1319" s="50"/>
      <c r="BB1319" s="50"/>
      <c r="BC1319" s="50"/>
      <c r="BD1319" s="50"/>
      <c r="BE1319" s="50"/>
      <c r="BF1319" s="50"/>
      <c r="BG1319" s="50"/>
      <c r="BH1319" s="50"/>
      <c r="BI1319" s="50"/>
      <c r="BJ1319" s="50"/>
      <c r="BK1319" s="50"/>
      <c r="BL1319" s="50"/>
      <c r="BM1319" s="50"/>
      <c r="BN1319" s="50"/>
      <c r="BO1319" s="50"/>
      <c r="BP1319" s="50"/>
      <c r="BQ1319" s="50"/>
      <c r="BR1319" s="50"/>
      <c r="BS1319" s="111"/>
      <c r="BT1319" s="50"/>
      <c r="BU1319" s="50"/>
      <c r="BV1319" s="50"/>
      <c r="BW1319" s="50"/>
      <c r="BX1319" s="50"/>
      <c r="BY1319" s="50"/>
      <c r="BZ1319" s="50"/>
      <c r="CA1319" s="50"/>
      <c r="CB1319" s="50"/>
      <c r="CC1319" s="50"/>
      <c r="CD1319" s="50"/>
      <c r="CE1319" s="50"/>
      <c r="CF1319" s="50"/>
      <c r="CG1319" s="50"/>
      <c r="CH1319" s="50"/>
      <c r="CI1319" s="50"/>
      <c r="CJ1319" s="50"/>
      <c r="CK1319" s="50"/>
      <c r="CL1319" s="50"/>
      <c r="CM1319" s="50"/>
      <c r="CN1319" s="50"/>
      <c r="CO1319" s="50"/>
      <c r="CP1319" s="50"/>
      <c r="CQ1319" s="50"/>
      <c r="CR1319" s="50"/>
      <c r="CS1319" s="50"/>
    </row>
    <row r="1320" spans="1:97" ht="15" thickBot="1">
      <c r="A1320" s="49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111"/>
      <c r="O1320" s="111"/>
      <c r="P1320" s="111"/>
      <c r="Q1320" s="111"/>
      <c r="R1320" s="111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1"/>
      <c r="AF1320" s="111"/>
      <c r="AG1320" s="111"/>
      <c r="AH1320" s="111"/>
      <c r="AI1320" s="111"/>
      <c r="AJ1320" s="111"/>
      <c r="AK1320" s="111"/>
      <c r="AL1320" s="111"/>
      <c r="AM1320" s="111"/>
      <c r="AN1320" s="111"/>
      <c r="AO1320" s="111"/>
      <c r="AP1320" s="111"/>
      <c r="AQ1320" s="111"/>
      <c r="AR1320" s="111"/>
      <c r="AS1320" s="111"/>
      <c r="AT1320" s="111"/>
      <c r="AU1320" s="111"/>
      <c r="AV1320" s="50"/>
      <c r="AW1320" s="50"/>
      <c r="AX1320" s="50"/>
      <c r="AY1320" s="50"/>
      <c r="AZ1320" s="50"/>
      <c r="BA1320" s="50"/>
      <c r="BB1320" s="50"/>
      <c r="BC1320" s="50"/>
      <c r="BD1320" s="50"/>
      <c r="BE1320" s="50"/>
      <c r="BF1320" s="50"/>
      <c r="BG1320" s="50"/>
      <c r="BH1320" s="50"/>
      <c r="BI1320" s="50"/>
      <c r="BJ1320" s="50"/>
      <c r="BK1320" s="50"/>
      <c r="BL1320" s="50"/>
      <c r="BM1320" s="50"/>
      <c r="BN1320" s="50"/>
      <c r="BO1320" s="50"/>
      <c r="BP1320" s="50"/>
      <c r="BQ1320" s="50"/>
      <c r="BR1320" s="50"/>
      <c r="BS1320" s="111"/>
      <c r="BT1320" s="50"/>
      <c r="BU1320" s="50"/>
      <c r="BV1320" s="50"/>
      <c r="BW1320" s="50"/>
      <c r="BX1320" s="50"/>
      <c r="BY1320" s="50"/>
      <c r="BZ1320" s="50"/>
      <c r="CA1320" s="50"/>
      <c r="CB1320" s="50"/>
      <c r="CC1320" s="50"/>
      <c r="CD1320" s="50"/>
      <c r="CE1320" s="50"/>
      <c r="CF1320" s="50"/>
      <c r="CG1320" s="50"/>
      <c r="CH1320" s="50"/>
      <c r="CI1320" s="50"/>
      <c r="CJ1320" s="50"/>
      <c r="CK1320" s="50"/>
      <c r="CL1320" s="50"/>
      <c r="CM1320" s="50"/>
      <c r="CN1320" s="50"/>
      <c r="CO1320" s="50"/>
      <c r="CP1320" s="50"/>
      <c r="CQ1320" s="50"/>
      <c r="CR1320" s="50"/>
      <c r="CS1320" s="50"/>
    </row>
    <row r="1321" spans="1:97" ht="15" thickBot="1">
      <c r="A1321" s="49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111"/>
      <c r="O1321" s="111"/>
      <c r="P1321" s="111"/>
      <c r="Q1321" s="111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1"/>
      <c r="AF1321" s="111"/>
      <c r="AG1321" s="111"/>
      <c r="AH1321" s="111"/>
      <c r="AI1321" s="111"/>
      <c r="AJ1321" s="111"/>
      <c r="AK1321" s="111"/>
      <c r="AL1321" s="111"/>
      <c r="AM1321" s="111"/>
      <c r="AN1321" s="111"/>
      <c r="AO1321" s="111"/>
      <c r="AP1321" s="111"/>
      <c r="AQ1321" s="111"/>
      <c r="AR1321" s="111"/>
      <c r="AS1321" s="111"/>
      <c r="AT1321" s="111"/>
      <c r="AU1321" s="111"/>
      <c r="AV1321" s="50"/>
      <c r="AW1321" s="50"/>
      <c r="AX1321" s="50"/>
      <c r="AY1321" s="50"/>
      <c r="AZ1321" s="50"/>
      <c r="BA1321" s="50"/>
      <c r="BB1321" s="50"/>
      <c r="BC1321" s="50"/>
      <c r="BD1321" s="50"/>
      <c r="BE1321" s="50"/>
      <c r="BF1321" s="50"/>
      <c r="BG1321" s="50"/>
      <c r="BH1321" s="50"/>
      <c r="BI1321" s="50"/>
      <c r="BJ1321" s="50"/>
      <c r="BK1321" s="50"/>
      <c r="BL1321" s="50"/>
      <c r="BM1321" s="50"/>
      <c r="BN1321" s="50"/>
      <c r="BO1321" s="50"/>
      <c r="BP1321" s="50"/>
      <c r="BQ1321" s="50"/>
      <c r="BR1321" s="50"/>
      <c r="BS1321" s="111"/>
      <c r="BT1321" s="50"/>
      <c r="BU1321" s="50"/>
      <c r="BV1321" s="50"/>
      <c r="BW1321" s="50"/>
      <c r="BX1321" s="50"/>
      <c r="BY1321" s="50"/>
      <c r="BZ1321" s="50"/>
      <c r="CA1321" s="50"/>
      <c r="CB1321" s="50"/>
      <c r="CC1321" s="50"/>
      <c r="CD1321" s="50"/>
      <c r="CE1321" s="50"/>
      <c r="CF1321" s="50"/>
      <c r="CG1321" s="50"/>
      <c r="CH1321" s="50"/>
      <c r="CI1321" s="50"/>
      <c r="CJ1321" s="50"/>
      <c r="CK1321" s="50"/>
      <c r="CL1321" s="50"/>
      <c r="CM1321" s="50"/>
      <c r="CN1321" s="50"/>
      <c r="CO1321" s="50"/>
      <c r="CP1321" s="50"/>
      <c r="CQ1321" s="50"/>
      <c r="CR1321" s="50"/>
      <c r="CS1321" s="50"/>
    </row>
    <row r="1322" spans="1:97" ht="15" thickBot="1">
      <c r="A1322" s="49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111"/>
      <c r="O1322" s="111"/>
      <c r="P1322" s="111"/>
      <c r="Q1322" s="111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1"/>
      <c r="AF1322" s="111"/>
      <c r="AG1322" s="111"/>
      <c r="AH1322" s="111"/>
      <c r="AI1322" s="111"/>
      <c r="AJ1322" s="111"/>
      <c r="AK1322" s="111"/>
      <c r="AL1322" s="111"/>
      <c r="AM1322" s="111"/>
      <c r="AN1322" s="111"/>
      <c r="AO1322" s="111"/>
      <c r="AP1322" s="111"/>
      <c r="AQ1322" s="111"/>
      <c r="AR1322" s="111"/>
      <c r="AS1322" s="111"/>
      <c r="AT1322" s="111"/>
      <c r="AU1322" s="111"/>
      <c r="AV1322" s="50"/>
      <c r="AW1322" s="50"/>
      <c r="AX1322" s="50"/>
      <c r="AY1322" s="50"/>
      <c r="AZ1322" s="50"/>
      <c r="BA1322" s="50"/>
      <c r="BB1322" s="50"/>
      <c r="BC1322" s="50"/>
      <c r="BD1322" s="50"/>
      <c r="BE1322" s="50"/>
      <c r="BF1322" s="50"/>
      <c r="BG1322" s="50"/>
      <c r="BH1322" s="50"/>
      <c r="BI1322" s="50"/>
      <c r="BJ1322" s="50"/>
      <c r="BK1322" s="50"/>
      <c r="BL1322" s="50"/>
      <c r="BM1322" s="50"/>
      <c r="BN1322" s="50"/>
      <c r="BO1322" s="50"/>
      <c r="BP1322" s="50"/>
      <c r="BQ1322" s="50"/>
      <c r="BR1322" s="50"/>
      <c r="BS1322" s="111"/>
      <c r="BT1322" s="50"/>
      <c r="BU1322" s="50"/>
      <c r="BV1322" s="50"/>
      <c r="BW1322" s="50"/>
      <c r="BX1322" s="50"/>
      <c r="BY1322" s="50"/>
      <c r="BZ1322" s="50"/>
      <c r="CA1322" s="50"/>
      <c r="CB1322" s="50"/>
      <c r="CC1322" s="50"/>
      <c r="CD1322" s="50"/>
      <c r="CE1322" s="50"/>
      <c r="CF1322" s="50"/>
      <c r="CG1322" s="50"/>
      <c r="CH1322" s="50"/>
      <c r="CI1322" s="50"/>
      <c r="CJ1322" s="50"/>
      <c r="CK1322" s="50"/>
      <c r="CL1322" s="50"/>
      <c r="CM1322" s="50"/>
      <c r="CN1322" s="50"/>
      <c r="CO1322" s="50"/>
      <c r="CP1322" s="50"/>
      <c r="CQ1322" s="50"/>
      <c r="CR1322" s="50"/>
      <c r="CS1322" s="50"/>
    </row>
    <row r="1323" spans="1:97" ht="15" thickBot="1">
      <c r="A1323" s="49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111"/>
      <c r="O1323" s="111"/>
      <c r="P1323" s="111"/>
      <c r="Q1323" s="111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1"/>
      <c r="AF1323" s="111"/>
      <c r="AG1323" s="111"/>
      <c r="AH1323" s="111"/>
      <c r="AI1323" s="111"/>
      <c r="AJ1323" s="111"/>
      <c r="AK1323" s="111"/>
      <c r="AL1323" s="111"/>
      <c r="AM1323" s="111"/>
      <c r="AN1323" s="111"/>
      <c r="AO1323" s="111"/>
      <c r="AP1323" s="111"/>
      <c r="AQ1323" s="111"/>
      <c r="AR1323" s="111"/>
      <c r="AS1323" s="111"/>
      <c r="AT1323" s="111"/>
      <c r="AU1323" s="111"/>
      <c r="AV1323" s="50"/>
      <c r="AW1323" s="50"/>
      <c r="AX1323" s="50"/>
      <c r="AY1323" s="50"/>
      <c r="AZ1323" s="50"/>
      <c r="BA1323" s="50"/>
      <c r="BB1323" s="50"/>
      <c r="BC1323" s="50"/>
      <c r="BD1323" s="50"/>
      <c r="BE1323" s="50"/>
      <c r="BF1323" s="50"/>
      <c r="BG1323" s="50"/>
      <c r="BH1323" s="50"/>
      <c r="BI1323" s="50"/>
      <c r="BJ1323" s="50"/>
      <c r="BK1323" s="50"/>
      <c r="BL1323" s="50"/>
      <c r="BM1323" s="50"/>
      <c r="BN1323" s="50"/>
      <c r="BO1323" s="50"/>
      <c r="BP1323" s="50"/>
      <c r="BQ1323" s="50"/>
      <c r="BR1323" s="50"/>
      <c r="BS1323" s="111"/>
      <c r="BT1323" s="50"/>
      <c r="BU1323" s="50"/>
      <c r="BV1323" s="50"/>
      <c r="BW1323" s="50"/>
      <c r="BX1323" s="50"/>
      <c r="BY1323" s="50"/>
      <c r="BZ1323" s="50"/>
      <c r="CA1323" s="50"/>
      <c r="CB1323" s="50"/>
      <c r="CC1323" s="50"/>
      <c r="CD1323" s="50"/>
      <c r="CE1323" s="50"/>
      <c r="CF1323" s="50"/>
      <c r="CG1323" s="50"/>
      <c r="CH1323" s="50"/>
      <c r="CI1323" s="50"/>
      <c r="CJ1323" s="50"/>
      <c r="CK1323" s="50"/>
      <c r="CL1323" s="50"/>
      <c r="CM1323" s="50"/>
      <c r="CN1323" s="50"/>
      <c r="CO1323" s="50"/>
      <c r="CP1323" s="50"/>
      <c r="CQ1323" s="50"/>
      <c r="CR1323" s="50"/>
      <c r="CS1323" s="50"/>
    </row>
    <row r="1324" spans="1:97" ht="15" thickBot="1">
      <c r="A1324" s="49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111"/>
      <c r="O1324" s="111"/>
      <c r="P1324" s="111"/>
      <c r="Q1324" s="111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1"/>
      <c r="AF1324" s="111"/>
      <c r="AG1324" s="111"/>
      <c r="AH1324" s="111"/>
      <c r="AI1324" s="111"/>
      <c r="AJ1324" s="111"/>
      <c r="AK1324" s="111"/>
      <c r="AL1324" s="111"/>
      <c r="AM1324" s="111"/>
      <c r="AN1324" s="111"/>
      <c r="AO1324" s="111"/>
      <c r="AP1324" s="111"/>
      <c r="AQ1324" s="111"/>
      <c r="AR1324" s="111"/>
      <c r="AS1324" s="111"/>
      <c r="AT1324" s="111"/>
      <c r="AU1324" s="111"/>
      <c r="AV1324" s="50"/>
      <c r="AW1324" s="50"/>
      <c r="AX1324" s="50"/>
      <c r="AY1324" s="50"/>
      <c r="AZ1324" s="50"/>
      <c r="BA1324" s="50"/>
      <c r="BB1324" s="50"/>
      <c r="BC1324" s="50"/>
      <c r="BD1324" s="50"/>
      <c r="BE1324" s="50"/>
      <c r="BF1324" s="50"/>
      <c r="BG1324" s="50"/>
      <c r="BH1324" s="50"/>
      <c r="BI1324" s="50"/>
      <c r="BJ1324" s="50"/>
      <c r="BK1324" s="50"/>
      <c r="BL1324" s="50"/>
      <c r="BM1324" s="50"/>
      <c r="BN1324" s="50"/>
      <c r="BO1324" s="50"/>
      <c r="BP1324" s="50"/>
      <c r="BQ1324" s="50"/>
      <c r="BR1324" s="50"/>
      <c r="BS1324" s="111"/>
      <c r="BT1324" s="50"/>
      <c r="BU1324" s="50"/>
      <c r="BV1324" s="50"/>
      <c r="BW1324" s="50"/>
      <c r="BX1324" s="50"/>
      <c r="BY1324" s="50"/>
      <c r="BZ1324" s="50"/>
      <c r="CA1324" s="50"/>
      <c r="CB1324" s="50"/>
      <c r="CC1324" s="50"/>
      <c r="CD1324" s="50"/>
      <c r="CE1324" s="50"/>
      <c r="CF1324" s="50"/>
      <c r="CG1324" s="50"/>
      <c r="CH1324" s="50"/>
      <c r="CI1324" s="50"/>
      <c r="CJ1324" s="50"/>
      <c r="CK1324" s="50"/>
      <c r="CL1324" s="50"/>
      <c r="CM1324" s="50"/>
      <c r="CN1324" s="50"/>
      <c r="CO1324" s="50"/>
      <c r="CP1324" s="50"/>
      <c r="CQ1324" s="50"/>
      <c r="CR1324" s="50"/>
      <c r="CS1324" s="50"/>
    </row>
    <row r="1325" spans="1:97" ht="15" thickBot="1">
      <c r="A1325" s="49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111"/>
      <c r="O1325" s="111"/>
      <c r="P1325" s="111"/>
      <c r="Q1325" s="111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1"/>
      <c r="AF1325" s="111"/>
      <c r="AG1325" s="111"/>
      <c r="AH1325" s="111"/>
      <c r="AI1325" s="111"/>
      <c r="AJ1325" s="111"/>
      <c r="AK1325" s="111"/>
      <c r="AL1325" s="111"/>
      <c r="AM1325" s="111"/>
      <c r="AN1325" s="111"/>
      <c r="AO1325" s="111"/>
      <c r="AP1325" s="111"/>
      <c r="AQ1325" s="111"/>
      <c r="AR1325" s="111"/>
      <c r="AS1325" s="111"/>
      <c r="AT1325" s="111"/>
      <c r="AU1325" s="111"/>
      <c r="AV1325" s="50"/>
      <c r="AW1325" s="50"/>
      <c r="AX1325" s="50"/>
      <c r="AY1325" s="50"/>
      <c r="AZ1325" s="50"/>
      <c r="BA1325" s="50"/>
      <c r="BB1325" s="50"/>
      <c r="BC1325" s="50"/>
      <c r="BD1325" s="50"/>
      <c r="BE1325" s="50"/>
      <c r="BF1325" s="50"/>
      <c r="BG1325" s="50"/>
      <c r="BH1325" s="50"/>
      <c r="BI1325" s="50"/>
      <c r="BJ1325" s="50"/>
      <c r="BK1325" s="50"/>
      <c r="BL1325" s="50"/>
      <c r="BM1325" s="50"/>
      <c r="BN1325" s="50"/>
      <c r="BO1325" s="50"/>
      <c r="BP1325" s="50"/>
      <c r="BQ1325" s="50"/>
      <c r="BR1325" s="50"/>
      <c r="BS1325" s="111"/>
      <c r="BT1325" s="50"/>
      <c r="BU1325" s="50"/>
      <c r="BV1325" s="50"/>
      <c r="BW1325" s="50"/>
      <c r="BX1325" s="50"/>
      <c r="BY1325" s="50"/>
      <c r="BZ1325" s="50"/>
      <c r="CA1325" s="50"/>
      <c r="CB1325" s="50"/>
      <c r="CC1325" s="50"/>
      <c r="CD1325" s="50"/>
      <c r="CE1325" s="50"/>
      <c r="CF1325" s="50"/>
      <c r="CG1325" s="50"/>
      <c r="CH1325" s="50"/>
      <c r="CI1325" s="50"/>
      <c r="CJ1325" s="50"/>
      <c r="CK1325" s="50"/>
      <c r="CL1325" s="50"/>
      <c r="CM1325" s="50"/>
      <c r="CN1325" s="50"/>
      <c r="CO1325" s="50"/>
      <c r="CP1325" s="50"/>
      <c r="CQ1325" s="50"/>
      <c r="CR1325" s="50"/>
      <c r="CS1325" s="50"/>
    </row>
    <row r="1326" spans="1:97" ht="15" thickBot="1">
      <c r="A1326" s="49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111"/>
      <c r="O1326" s="111"/>
      <c r="P1326" s="111"/>
      <c r="Q1326" s="111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1"/>
      <c r="AF1326" s="111"/>
      <c r="AG1326" s="111"/>
      <c r="AH1326" s="111"/>
      <c r="AI1326" s="111"/>
      <c r="AJ1326" s="111"/>
      <c r="AK1326" s="111"/>
      <c r="AL1326" s="111"/>
      <c r="AM1326" s="111"/>
      <c r="AN1326" s="111"/>
      <c r="AO1326" s="111"/>
      <c r="AP1326" s="111"/>
      <c r="AQ1326" s="111"/>
      <c r="AR1326" s="111"/>
      <c r="AS1326" s="111"/>
      <c r="AT1326" s="111"/>
      <c r="AU1326" s="111"/>
      <c r="AV1326" s="50"/>
      <c r="AW1326" s="50"/>
      <c r="AX1326" s="50"/>
      <c r="AY1326" s="50"/>
      <c r="AZ1326" s="50"/>
      <c r="BA1326" s="50"/>
      <c r="BB1326" s="50"/>
      <c r="BC1326" s="50"/>
      <c r="BD1326" s="50"/>
      <c r="BE1326" s="50"/>
      <c r="BF1326" s="50"/>
      <c r="BG1326" s="50"/>
      <c r="BH1326" s="50"/>
      <c r="BI1326" s="50"/>
      <c r="BJ1326" s="50"/>
      <c r="BK1326" s="50"/>
      <c r="BL1326" s="50"/>
      <c r="BM1326" s="50"/>
      <c r="BN1326" s="50"/>
      <c r="BO1326" s="50"/>
      <c r="BP1326" s="50"/>
      <c r="BQ1326" s="50"/>
      <c r="BR1326" s="50"/>
      <c r="BS1326" s="111"/>
      <c r="BT1326" s="50"/>
      <c r="BU1326" s="50"/>
      <c r="BV1326" s="50"/>
      <c r="BW1326" s="50"/>
      <c r="BX1326" s="50"/>
      <c r="BY1326" s="50"/>
      <c r="BZ1326" s="50"/>
      <c r="CA1326" s="50"/>
      <c r="CB1326" s="50"/>
      <c r="CC1326" s="50"/>
      <c r="CD1326" s="50"/>
      <c r="CE1326" s="50"/>
      <c r="CF1326" s="50"/>
      <c r="CG1326" s="50"/>
      <c r="CH1326" s="50"/>
      <c r="CI1326" s="50"/>
      <c r="CJ1326" s="50"/>
      <c r="CK1326" s="50"/>
      <c r="CL1326" s="50"/>
      <c r="CM1326" s="50"/>
      <c r="CN1326" s="50"/>
      <c r="CO1326" s="50"/>
      <c r="CP1326" s="50"/>
      <c r="CQ1326" s="50"/>
      <c r="CR1326" s="50"/>
      <c r="CS1326" s="50"/>
    </row>
    <row r="1327" spans="1:97" ht="15" thickBot="1">
      <c r="A1327" s="49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111"/>
      <c r="O1327" s="111"/>
      <c r="P1327" s="111"/>
      <c r="Q1327" s="111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1"/>
      <c r="AF1327" s="111"/>
      <c r="AG1327" s="111"/>
      <c r="AH1327" s="111"/>
      <c r="AI1327" s="111"/>
      <c r="AJ1327" s="111"/>
      <c r="AK1327" s="111"/>
      <c r="AL1327" s="111"/>
      <c r="AM1327" s="111"/>
      <c r="AN1327" s="111"/>
      <c r="AO1327" s="111"/>
      <c r="AP1327" s="111"/>
      <c r="AQ1327" s="111"/>
      <c r="AR1327" s="111"/>
      <c r="AS1327" s="111"/>
      <c r="AT1327" s="111"/>
      <c r="AU1327" s="111"/>
      <c r="AV1327" s="50"/>
      <c r="AW1327" s="50"/>
      <c r="AX1327" s="50"/>
      <c r="AY1327" s="50"/>
      <c r="AZ1327" s="50"/>
      <c r="BA1327" s="50"/>
      <c r="BB1327" s="50"/>
      <c r="BC1327" s="50"/>
      <c r="BD1327" s="50"/>
      <c r="BE1327" s="50"/>
      <c r="BF1327" s="50"/>
      <c r="BG1327" s="50"/>
      <c r="BH1327" s="50"/>
      <c r="BI1327" s="50"/>
      <c r="BJ1327" s="50"/>
      <c r="BK1327" s="50"/>
      <c r="BL1327" s="50"/>
      <c r="BM1327" s="50"/>
      <c r="BN1327" s="50"/>
      <c r="BO1327" s="50"/>
      <c r="BP1327" s="50"/>
      <c r="BQ1327" s="50"/>
      <c r="BR1327" s="50"/>
      <c r="BS1327" s="111"/>
      <c r="BT1327" s="50"/>
      <c r="BU1327" s="50"/>
      <c r="BV1327" s="50"/>
      <c r="BW1327" s="50"/>
      <c r="BX1327" s="50"/>
      <c r="BY1327" s="50"/>
      <c r="BZ1327" s="50"/>
      <c r="CA1327" s="50"/>
      <c r="CB1327" s="50"/>
      <c r="CC1327" s="50"/>
      <c r="CD1327" s="50"/>
      <c r="CE1327" s="50"/>
      <c r="CF1327" s="50"/>
      <c r="CG1327" s="50"/>
      <c r="CH1327" s="50"/>
      <c r="CI1327" s="50"/>
      <c r="CJ1327" s="50"/>
      <c r="CK1327" s="50"/>
      <c r="CL1327" s="50"/>
      <c r="CM1327" s="50"/>
      <c r="CN1327" s="50"/>
      <c r="CO1327" s="50"/>
      <c r="CP1327" s="50"/>
      <c r="CQ1327" s="50"/>
      <c r="CR1327" s="50"/>
      <c r="CS1327" s="50"/>
    </row>
    <row r="1328" spans="1:97" ht="15" thickBot="1">
      <c r="A1328" s="49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111"/>
      <c r="O1328" s="111"/>
      <c r="P1328" s="111"/>
      <c r="Q1328" s="111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1"/>
      <c r="AF1328" s="111"/>
      <c r="AG1328" s="111"/>
      <c r="AH1328" s="111"/>
      <c r="AI1328" s="111"/>
      <c r="AJ1328" s="111"/>
      <c r="AK1328" s="111"/>
      <c r="AL1328" s="111"/>
      <c r="AM1328" s="111"/>
      <c r="AN1328" s="111"/>
      <c r="AO1328" s="111"/>
      <c r="AP1328" s="111"/>
      <c r="AQ1328" s="111"/>
      <c r="AR1328" s="111"/>
      <c r="AS1328" s="111"/>
      <c r="AT1328" s="111"/>
      <c r="AU1328" s="111"/>
      <c r="AV1328" s="50"/>
      <c r="AW1328" s="50"/>
      <c r="AX1328" s="50"/>
      <c r="AY1328" s="50"/>
      <c r="AZ1328" s="50"/>
      <c r="BA1328" s="50"/>
      <c r="BB1328" s="50"/>
      <c r="BC1328" s="50"/>
      <c r="BD1328" s="50"/>
      <c r="BE1328" s="50"/>
      <c r="BF1328" s="50"/>
      <c r="BG1328" s="50"/>
      <c r="BH1328" s="50"/>
      <c r="BI1328" s="50"/>
      <c r="BJ1328" s="50"/>
      <c r="BK1328" s="50"/>
      <c r="BL1328" s="50"/>
      <c r="BM1328" s="50"/>
      <c r="BN1328" s="50"/>
      <c r="BO1328" s="50"/>
      <c r="BP1328" s="50"/>
      <c r="BQ1328" s="50"/>
      <c r="BR1328" s="50"/>
      <c r="BS1328" s="111"/>
      <c r="BT1328" s="50"/>
      <c r="BU1328" s="50"/>
      <c r="BV1328" s="50"/>
      <c r="BW1328" s="50"/>
      <c r="BX1328" s="50"/>
      <c r="BY1328" s="50"/>
      <c r="BZ1328" s="50"/>
      <c r="CA1328" s="50"/>
      <c r="CB1328" s="50"/>
      <c r="CC1328" s="50"/>
      <c r="CD1328" s="50"/>
      <c r="CE1328" s="50"/>
      <c r="CF1328" s="50"/>
      <c r="CG1328" s="50"/>
      <c r="CH1328" s="50"/>
      <c r="CI1328" s="50"/>
      <c r="CJ1328" s="50"/>
      <c r="CK1328" s="50"/>
      <c r="CL1328" s="50"/>
      <c r="CM1328" s="50"/>
      <c r="CN1328" s="50"/>
      <c r="CO1328" s="50"/>
      <c r="CP1328" s="50"/>
      <c r="CQ1328" s="50"/>
      <c r="CR1328" s="50"/>
      <c r="CS1328" s="50"/>
    </row>
    <row r="1329" spans="1:97" ht="15" thickBot="1">
      <c r="A1329" s="49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111"/>
      <c r="O1329" s="111"/>
      <c r="P1329" s="111"/>
      <c r="Q1329" s="111"/>
      <c r="R1329" s="111"/>
      <c r="S1329" s="111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1"/>
      <c r="AF1329" s="111"/>
      <c r="AG1329" s="111"/>
      <c r="AH1329" s="111"/>
      <c r="AI1329" s="111"/>
      <c r="AJ1329" s="111"/>
      <c r="AK1329" s="111"/>
      <c r="AL1329" s="111"/>
      <c r="AM1329" s="111"/>
      <c r="AN1329" s="111"/>
      <c r="AO1329" s="111"/>
      <c r="AP1329" s="111"/>
      <c r="AQ1329" s="111"/>
      <c r="AR1329" s="111"/>
      <c r="AS1329" s="111"/>
      <c r="AT1329" s="111"/>
      <c r="AU1329" s="111"/>
      <c r="AV1329" s="50"/>
      <c r="AW1329" s="50"/>
      <c r="AX1329" s="50"/>
      <c r="AY1329" s="50"/>
      <c r="AZ1329" s="50"/>
      <c r="BA1329" s="50"/>
      <c r="BB1329" s="50"/>
      <c r="BC1329" s="50"/>
      <c r="BD1329" s="50"/>
      <c r="BE1329" s="50"/>
      <c r="BF1329" s="50"/>
      <c r="BG1329" s="50"/>
      <c r="BH1329" s="50"/>
      <c r="BI1329" s="50"/>
      <c r="BJ1329" s="50"/>
      <c r="BK1329" s="50"/>
      <c r="BL1329" s="50"/>
      <c r="BM1329" s="50"/>
      <c r="BN1329" s="50"/>
      <c r="BO1329" s="50"/>
      <c r="BP1329" s="50"/>
      <c r="BQ1329" s="50"/>
      <c r="BR1329" s="50"/>
      <c r="BS1329" s="111"/>
      <c r="BT1329" s="50"/>
      <c r="BU1329" s="50"/>
      <c r="BV1329" s="50"/>
      <c r="BW1329" s="50"/>
      <c r="BX1329" s="50"/>
      <c r="BY1329" s="50"/>
      <c r="BZ1329" s="50"/>
      <c r="CA1329" s="50"/>
      <c r="CB1329" s="50"/>
      <c r="CC1329" s="50"/>
      <c r="CD1329" s="50"/>
      <c r="CE1329" s="50"/>
      <c r="CF1329" s="50"/>
      <c r="CG1329" s="50"/>
      <c r="CH1329" s="50"/>
      <c r="CI1329" s="50"/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</row>
    <row r="1330" spans="1:97" ht="15" thickBot="1">
      <c r="A1330" s="49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111"/>
      <c r="O1330" s="111"/>
      <c r="P1330" s="111"/>
      <c r="Q1330" s="111"/>
      <c r="R1330" s="111"/>
      <c r="S1330" s="111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1"/>
      <c r="AF1330" s="111"/>
      <c r="AG1330" s="111"/>
      <c r="AH1330" s="111"/>
      <c r="AI1330" s="111"/>
      <c r="AJ1330" s="111"/>
      <c r="AK1330" s="111"/>
      <c r="AL1330" s="111"/>
      <c r="AM1330" s="111"/>
      <c r="AN1330" s="111"/>
      <c r="AO1330" s="111"/>
      <c r="AP1330" s="111"/>
      <c r="AQ1330" s="111"/>
      <c r="AR1330" s="111"/>
      <c r="AS1330" s="111"/>
      <c r="AT1330" s="111"/>
      <c r="AU1330" s="111"/>
      <c r="AV1330" s="50"/>
      <c r="AW1330" s="50"/>
      <c r="AX1330" s="50"/>
      <c r="AY1330" s="50"/>
      <c r="AZ1330" s="50"/>
      <c r="BA1330" s="50"/>
      <c r="BB1330" s="50"/>
      <c r="BC1330" s="50"/>
      <c r="BD1330" s="50"/>
      <c r="BE1330" s="50"/>
      <c r="BF1330" s="50"/>
      <c r="BG1330" s="50"/>
      <c r="BH1330" s="50"/>
      <c r="BI1330" s="50"/>
      <c r="BJ1330" s="50"/>
      <c r="BK1330" s="50"/>
      <c r="BL1330" s="50"/>
      <c r="BM1330" s="50"/>
      <c r="BN1330" s="50"/>
      <c r="BO1330" s="50"/>
      <c r="BP1330" s="50"/>
      <c r="BQ1330" s="50"/>
      <c r="BR1330" s="50"/>
      <c r="BS1330" s="111"/>
      <c r="BT1330" s="50"/>
      <c r="BU1330" s="50"/>
      <c r="BV1330" s="50"/>
      <c r="BW1330" s="50"/>
      <c r="BX1330" s="50"/>
      <c r="BY1330" s="50"/>
      <c r="BZ1330" s="50"/>
      <c r="CA1330" s="50"/>
      <c r="CB1330" s="50"/>
      <c r="CC1330" s="50"/>
      <c r="CD1330" s="50"/>
      <c r="CE1330" s="50"/>
      <c r="CF1330" s="50"/>
      <c r="CG1330" s="50"/>
      <c r="CH1330" s="50"/>
      <c r="CI1330" s="50"/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</row>
    <row r="1331" spans="1:97" ht="15" thickBot="1">
      <c r="A1331" s="49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111"/>
      <c r="O1331" s="111"/>
      <c r="P1331" s="111"/>
      <c r="Q1331" s="111"/>
      <c r="R1331" s="111"/>
      <c r="S1331" s="111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1"/>
      <c r="AF1331" s="111"/>
      <c r="AG1331" s="111"/>
      <c r="AH1331" s="111"/>
      <c r="AI1331" s="111"/>
      <c r="AJ1331" s="111"/>
      <c r="AK1331" s="111"/>
      <c r="AL1331" s="111"/>
      <c r="AM1331" s="111"/>
      <c r="AN1331" s="111"/>
      <c r="AO1331" s="111"/>
      <c r="AP1331" s="111"/>
      <c r="AQ1331" s="111"/>
      <c r="AR1331" s="111"/>
      <c r="AS1331" s="111"/>
      <c r="AT1331" s="111"/>
      <c r="AU1331" s="111"/>
      <c r="AV1331" s="50"/>
      <c r="AW1331" s="50"/>
      <c r="AX1331" s="50"/>
      <c r="AY1331" s="50"/>
      <c r="AZ1331" s="50"/>
      <c r="BA1331" s="50"/>
      <c r="BB1331" s="50"/>
      <c r="BC1331" s="50"/>
      <c r="BD1331" s="50"/>
      <c r="BE1331" s="50"/>
      <c r="BF1331" s="50"/>
      <c r="BG1331" s="50"/>
      <c r="BH1331" s="50"/>
      <c r="BI1331" s="50"/>
      <c r="BJ1331" s="50"/>
      <c r="BK1331" s="50"/>
      <c r="BL1331" s="50"/>
      <c r="BM1331" s="50"/>
      <c r="BN1331" s="50"/>
      <c r="BO1331" s="50"/>
      <c r="BP1331" s="50"/>
      <c r="BQ1331" s="50"/>
      <c r="BR1331" s="50"/>
      <c r="BS1331" s="111"/>
      <c r="BT1331" s="50"/>
      <c r="BU1331" s="50"/>
      <c r="BV1331" s="50"/>
      <c r="BW1331" s="50"/>
      <c r="BX1331" s="50"/>
      <c r="BY1331" s="50"/>
      <c r="BZ1331" s="50"/>
      <c r="CA1331" s="50"/>
      <c r="CB1331" s="50"/>
      <c r="CC1331" s="50"/>
      <c r="CD1331" s="50"/>
      <c r="CE1331" s="50"/>
      <c r="CF1331" s="50"/>
      <c r="CG1331" s="50"/>
      <c r="CH1331" s="50"/>
      <c r="CI1331" s="50"/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</row>
    <row r="1332" spans="1:97" ht="15" thickBot="1">
      <c r="A1332" s="49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111"/>
      <c r="O1332" s="111"/>
      <c r="P1332" s="111"/>
      <c r="Q1332" s="111"/>
      <c r="R1332" s="111"/>
      <c r="S1332" s="111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1"/>
      <c r="AF1332" s="111"/>
      <c r="AG1332" s="111"/>
      <c r="AH1332" s="111"/>
      <c r="AI1332" s="111"/>
      <c r="AJ1332" s="111"/>
      <c r="AK1332" s="111"/>
      <c r="AL1332" s="111"/>
      <c r="AM1332" s="111"/>
      <c r="AN1332" s="111"/>
      <c r="AO1332" s="111"/>
      <c r="AP1332" s="111"/>
      <c r="AQ1332" s="111"/>
      <c r="AR1332" s="111"/>
      <c r="AS1332" s="111"/>
      <c r="AT1332" s="111"/>
      <c r="AU1332" s="111"/>
      <c r="AV1332" s="50"/>
      <c r="AW1332" s="50"/>
      <c r="AX1332" s="50"/>
      <c r="AY1332" s="50"/>
      <c r="AZ1332" s="50"/>
      <c r="BA1332" s="50"/>
      <c r="BB1332" s="50"/>
      <c r="BC1332" s="50"/>
      <c r="BD1332" s="50"/>
      <c r="BE1332" s="50"/>
      <c r="BF1332" s="50"/>
      <c r="BG1332" s="50"/>
      <c r="BH1332" s="50"/>
      <c r="BI1332" s="50"/>
      <c r="BJ1332" s="50"/>
      <c r="BK1332" s="50"/>
      <c r="BL1332" s="50"/>
      <c r="BM1332" s="50"/>
      <c r="BN1332" s="50"/>
      <c r="BO1332" s="50"/>
      <c r="BP1332" s="50"/>
      <c r="BQ1332" s="50"/>
      <c r="BR1332" s="50"/>
      <c r="BS1332" s="111"/>
      <c r="BT1332" s="50"/>
      <c r="BU1332" s="50"/>
      <c r="BV1332" s="50"/>
      <c r="BW1332" s="50"/>
      <c r="BX1332" s="50"/>
      <c r="BY1332" s="50"/>
      <c r="BZ1332" s="50"/>
      <c r="CA1332" s="50"/>
      <c r="CB1332" s="50"/>
      <c r="CC1332" s="50"/>
      <c r="CD1332" s="50"/>
      <c r="CE1332" s="50"/>
      <c r="CF1332" s="50"/>
      <c r="CG1332" s="50"/>
      <c r="CH1332" s="50"/>
      <c r="CI1332" s="50"/>
      <c r="CJ1332" s="50"/>
      <c r="CK1332" s="50"/>
      <c r="CL1332" s="50"/>
      <c r="CM1332" s="50"/>
      <c r="CN1332" s="50"/>
      <c r="CO1332" s="50"/>
      <c r="CP1332" s="50"/>
      <c r="CQ1332" s="50"/>
      <c r="CR1332" s="50"/>
      <c r="CS1332" s="50"/>
    </row>
    <row r="1333" spans="1:97" ht="15" thickBot="1">
      <c r="A1333" s="49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111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1"/>
      <c r="AF1333" s="111"/>
      <c r="AG1333" s="111"/>
      <c r="AH1333" s="111"/>
      <c r="AI1333" s="111"/>
      <c r="AJ1333" s="111"/>
      <c r="AK1333" s="111"/>
      <c r="AL1333" s="111"/>
      <c r="AM1333" s="111"/>
      <c r="AN1333" s="111"/>
      <c r="AO1333" s="111"/>
      <c r="AP1333" s="111"/>
      <c r="AQ1333" s="111"/>
      <c r="AR1333" s="111"/>
      <c r="AS1333" s="111"/>
      <c r="AT1333" s="111"/>
      <c r="AU1333" s="111"/>
      <c r="AV1333" s="50"/>
      <c r="AW1333" s="50"/>
      <c r="AX1333" s="50"/>
      <c r="AY1333" s="50"/>
      <c r="AZ1333" s="50"/>
      <c r="BA1333" s="50"/>
      <c r="BB1333" s="50"/>
      <c r="BC1333" s="50"/>
      <c r="BD1333" s="50"/>
      <c r="BE1333" s="50"/>
      <c r="BF1333" s="50"/>
      <c r="BG1333" s="50"/>
      <c r="BH1333" s="50"/>
      <c r="BI1333" s="50"/>
      <c r="BJ1333" s="50"/>
      <c r="BK1333" s="50"/>
      <c r="BL1333" s="50"/>
      <c r="BM1333" s="50"/>
      <c r="BN1333" s="50"/>
      <c r="BO1333" s="50"/>
      <c r="BP1333" s="50"/>
      <c r="BQ1333" s="50"/>
      <c r="BR1333" s="50"/>
      <c r="BS1333" s="111"/>
      <c r="BT1333" s="50"/>
      <c r="BU1333" s="50"/>
      <c r="BV1333" s="50"/>
      <c r="BW1333" s="50"/>
      <c r="BX1333" s="50"/>
      <c r="BY1333" s="50"/>
      <c r="BZ1333" s="50"/>
      <c r="CA1333" s="50"/>
      <c r="CB1333" s="50"/>
      <c r="CC1333" s="50"/>
      <c r="CD1333" s="50"/>
      <c r="CE1333" s="50"/>
      <c r="CF1333" s="50"/>
      <c r="CG1333" s="50"/>
      <c r="CH1333" s="50"/>
      <c r="CI1333" s="50"/>
      <c r="CJ1333" s="50"/>
      <c r="CK1333" s="50"/>
      <c r="CL1333" s="50"/>
      <c r="CM1333" s="50"/>
      <c r="CN1333" s="50"/>
      <c r="CO1333" s="50"/>
      <c r="CP1333" s="50"/>
      <c r="CQ1333" s="50"/>
      <c r="CR1333" s="50"/>
      <c r="CS1333" s="50"/>
    </row>
    <row r="1334" spans="1:97" ht="15" thickBot="1">
      <c r="A1334" s="49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111"/>
      <c r="O1334" s="111"/>
      <c r="P1334" s="111"/>
      <c r="Q1334" s="111"/>
      <c r="R1334" s="111"/>
      <c r="S1334" s="111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1"/>
      <c r="AF1334" s="111"/>
      <c r="AG1334" s="111"/>
      <c r="AH1334" s="111"/>
      <c r="AI1334" s="111"/>
      <c r="AJ1334" s="111"/>
      <c r="AK1334" s="111"/>
      <c r="AL1334" s="111"/>
      <c r="AM1334" s="111"/>
      <c r="AN1334" s="111"/>
      <c r="AO1334" s="111"/>
      <c r="AP1334" s="111"/>
      <c r="AQ1334" s="111"/>
      <c r="AR1334" s="111"/>
      <c r="AS1334" s="111"/>
      <c r="AT1334" s="111"/>
      <c r="AU1334" s="111"/>
      <c r="AV1334" s="50"/>
      <c r="AW1334" s="50"/>
      <c r="AX1334" s="50"/>
      <c r="AY1334" s="50"/>
      <c r="AZ1334" s="50"/>
      <c r="BA1334" s="50"/>
      <c r="BB1334" s="50"/>
      <c r="BC1334" s="50"/>
      <c r="BD1334" s="50"/>
      <c r="BE1334" s="50"/>
      <c r="BF1334" s="50"/>
      <c r="BG1334" s="50"/>
      <c r="BH1334" s="50"/>
      <c r="BI1334" s="50"/>
      <c r="BJ1334" s="50"/>
      <c r="BK1334" s="50"/>
      <c r="BL1334" s="50"/>
      <c r="BM1334" s="50"/>
      <c r="BN1334" s="50"/>
      <c r="BO1334" s="50"/>
      <c r="BP1334" s="50"/>
      <c r="BQ1334" s="50"/>
      <c r="BR1334" s="50"/>
      <c r="BS1334" s="111"/>
      <c r="BT1334" s="50"/>
      <c r="BU1334" s="50"/>
      <c r="BV1334" s="50"/>
      <c r="BW1334" s="50"/>
      <c r="BX1334" s="50"/>
      <c r="BY1334" s="50"/>
      <c r="BZ1334" s="50"/>
      <c r="CA1334" s="50"/>
      <c r="CB1334" s="50"/>
      <c r="CC1334" s="50"/>
      <c r="CD1334" s="50"/>
      <c r="CE1334" s="50"/>
      <c r="CF1334" s="50"/>
      <c r="CG1334" s="50"/>
      <c r="CH1334" s="50"/>
      <c r="CI1334" s="50"/>
      <c r="CJ1334" s="50"/>
      <c r="CK1334" s="50"/>
      <c r="CL1334" s="50"/>
      <c r="CM1334" s="50"/>
      <c r="CN1334" s="50"/>
      <c r="CO1334" s="50"/>
      <c r="CP1334" s="50"/>
      <c r="CQ1334" s="50"/>
      <c r="CR1334" s="50"/>
      <c r="CS1334" s="50"/>
    </row>
    <row r="1335" spans="1:97" ht="15" thickBot="1">
      <c r="A1335" s="49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111"/>
      <c r="O1335" s="111"/>
      <c r="P1335" s="111"/>
      <c r="Q1335" s="111"/>
      <c r="R1335" s="111"/>
      <c r="S1335" s="111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1"/>
      <c r="AF1335" s="111"/>
      <c r="AG1335" s="111"/>
      <c r="AH1335" s="111"/>
      <c r="AI1335" s="111"/>
      <c r="AJ1335" s="111"/>
      <c r="AK1335" s="111"/>
      <c r="AL1335" s="111"/>
      <c r="AM1335" s="111"/>
      <c r="AN1335" s="111"/>
      <c r="AO1335" s="111"/>
      <c r="AP1335" s="111"/>
      <c r="AQ1335" s="111"/>
      <c r="AR1335" s="111"/>
      <c r="AS1335" s="111"/>
      <c r="AT1335" s="111"/>
      <c r="AU1335" s="111"/>
      <c r="AV1335" s="50"/>
      <c r="AW1335" s="50"/>
      <c r="AX1335" s="50"/>
      <c r="AY1335" s="50"/>
      <c r="AZ1335" s="50"/>
      <c r="BA1335" s="50"/>
      <c r="BB1335" s="50"/>
      <c r="BC1335" s="50"/>
      <c r="BD1335" s="50"/>
      <c r="BE1335" s="50"/>
      <c r="BF1335" s="50"/>
      <c r="BG1335" s="50"/>
      <c r="BH1335" s="50"/>
      <c r="BI1335" s="50"/>
      <c r="BJ1335" s="50"/>
      <c r="BK1335" s="50"/>
      <c r="BL1335" s="50"/>
      <c r="BM1335" s="50"/>
      <c r="BN1335" s="50"/>
      <c r="BO1335" s="50"/>
      <c r="BP1335" s="50"/>
      <c r="BQ1335" s="50"/>
      <c r="BR1335" s="50"/>
      <c r="BS1335" s="111"/>
      <c r="BT1335" s="50"/>
      <c r="BU1335" s="50"/>
      <c r="BV1335" s="50"/>
      <c r="BW1335" s="50"/>
      <c r="BX1335" s="50"/>
      <c r="BY1335" s="50"/>
      <c r="BZ1335" s="50"/>
      <c r="CA1335" s="50"/>
      <c r="CB1335" s="50"/>
      <c r="CC1335" s="50"/>
      <c r="CD1335" s="50"/>
      <c r="CE1335" s="50"/>
      <c r="CF1335" s="50"/>
      <c r="CG1335" s="50"/>
      <c r="CH1335" s="50"/>
      <c r="CI1335" s="50"/>
      <c r="CJ1335" s="50"/>
      <c r="CK1335" s="50"/>
      <c r="CL1335" s="50"/>
      <c r="CM1335" s="50"/>
      <c r="CN1335" s="50"/>
      <c r="CO1335" s="50"/>
      <c r="CP1335" s="50"/>
      <c r="CQ1335" s="50"/>
      <c r="CR1335" s="50"/>
      <c r="CS1335" s="50"/>
    </row>
    <row r="1336" spans="1:97" ht="15" thickBot="1">
      <c r="A1336" s="49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111"/>
      <c r="O1336" s="111"/>
      <c r="P1336" s="111"/>
      <c r="Q1336" s="111"/>
      <c r="R1336" s="111"/>
      <c r="S1336" s="111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1"/>
      <c r="AF1336" s="111"/>
      <c r="AG1336" s="111"/>
      <c r="AH1336" s="111"/>
      <c r="AI1336" s="111"/>
      <c r="AJ1336" s="111"/>
      <c r="AK1336" s="111"/>
      <c r="AL1336" s="111"/>
      <c r="AM1336" s="111"/>
      <c r="AN1336" s="111"/>
      <c r="AO1336" s="111"/>
      <c r="AP1336" s="111"/>
      <c r="AQ1336" s="111"/>
      <c r="AR1336" s="111"/>
      <c r="AS1336" s="111"/>
      <c r="AT1336" s="111"/>
      <c r="AU1336" s="111"/>
      <c r="AV1336" s="50"/>
      <c r="AW1336" s="50"/>
      <c r="AX1336" s="50"/>
      <c r="AY1336" s="50"/>
      <c r="AZ1336" s="50"/>
      <c r="BA1336" s="50"/>
      <c r="BB1336" s="50"/>
      <c r="BC1336" s="50"/>
      <c r="BD1336" s="50"/>
      <c r="BE1336" s="50"/>
      <c r="BF1336" s="50"/>
      <c r="BG1336" s="50"/>
      <c r="BH1336" s="50"/>
      <c r="BI1336" s="50"/>
      <c r="BJ1336" s="50"/>
      <c r="BK1336" s="50"/>
      <c r="BL1336" s="50"/>
      <c r="BM1336" s="50"/>
      <c r="BN1336" s="50"/>
      <c r="BO1336" s="50"/>
      <c r="BP1336" s="50"/>
      <c r="BQ1336" s="50"/>
      <c r="BR1336" s="50"/>
      <c r="BS1336" s="111"/>
      <c r="BT1336" s="50"/>
      <c r="BU1336" s="50"/>
      <c r="BV1336" s="50"/>
      <c r="BW1336" s="50"/>
      <c r="BX1336" s="50"/>
      <c r="BY1336" s="50"/>
      <c r="BZ1336" s="50"/>
      <c r="CA1336" s="50"/>
      <c r="CB1336" s="50"/>
      <c r="CC1336" s="50"/>
      <c r="CD1336" s="50"/>
      <c r="CE1336" s="50"/>
      <c r="CF1336" s="50"/>
      <c r="CG1336" s="50"/>
      <c r="CH1336" s="50"/>
      <c r="CI1336" s="50"/>
      <c r="CJ1336" s="50"/>
      <c r="CK1336" s="50"/>
      <c r="CL1336" s="50"/>
      <c r="CM1336" s="50"/>
      <c r="CN1336" s="50"/>
      <c r="CO1336" s="50"/>
      <c r="CP1336" s="50"/>
      <c r="CQ1336" s="50"/>
      <c r="CR1336" s="50"/>
      <c r="CS1336" s="50"/>
    </row>
    <row r="1337" spans="1:97" ht="15" thickBot="1">
      <c r="A1337" s="49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111"/>
      <c r="O1337" s="111"/>
      <c r="P1337" s="111"/>
      <c r="Q1337" s="111"/>
      <c r="R1337" s="111"/>
      <c r="S1337" s="111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1"/>
      <c r="AF1337" s="111"/>
      <c r="AG1337" s="111"/>
      <c r="AH1337" s="111"/>
      <c r="AI1337" s="111"/>
      <c r="AJ1337" s="111"/>
      <c r="AK1337" s="111"/>
      <c r="AL1337" s="111"/>
      <c r="AM1337" s="111"/>
      <c r="AN1337" s="111"/>
      <c r="AO1337" s="111"/>
      <c r="AP1337" s="111"/>
      <c r="AQ1337" s="111"/>
      <c r="AR1337" s="111"/>
      <c r="AS1337" s="111"/>
      <c r="AT1337" s="111"/>
      <c r="AU1337" s="111"/>
      <c r="AV1337" s="50"/>
      <c r="AW1337" s="50"/>
      <c r="AX1337" s="50"/>
      <c r="AY1337" s="50"/>
      <c r="AZ1337" s="50"/>
      <c r="BA1337" s="50"/>
      <c r="BB1337" s="50"/>
      <c r="BC1337" s="50"/>
      <c r="BD1337" s="50"/>
      <c r="BE1337" s="50"/>
      <c r="BF1337" s="50"/>
      <c r="BG1337" s="50"/>
      <c r="BH1337" s="50"/>
      <c r="BI1337" s="50"/>
      <c r="BJ1337" s="50"/>
      <c r="BK1337" s="50"/>
      <c r="BL1337" s="50"/>
      <c r="BM1337" s="50"/>
      <c r="BN1337" s="50"/>
      <c r="BO1337" s="50"/>
      <c r="BP1337" s="50"/>
      <c r="BQ1337" s="50"/>
      <c r="BR1337" s="50"/>
      <c r="BS1337" s="111"/>
      <c r="BT1337" s="50"/>
      <c r="BU1337" s="50"/>
      <c r="BV1337" s="50"/>
      <c r="BW1337" s="50"/>
      <c r="BX1337" s="50"/>
      <c r="BY1337" s="50"/>
      <c r="BZ1337" s="50"/>
      <c r="CA1337" s="50"/>
      <c r="CB1337" s="50"/>
      <c r="CC1337" s="50"/>
      <c r="CD1337" s="50"/>
      <c r="CE1337" s="50"/>
      <c r="CF1337" s="50"/>
      <c r="CG1337" s="50"/>
      <c r="CH1337" s="50"/>
      <c r="CI1337" s="50"/>
      <c r="CJ1337" s="50"/>
      <c r="CK1337" s="50"/>
      <c r="CL1337" s="50"/>
      <c r="CM1337" s="50"/>
      <c r="CN1337" s="50"/>
      <c r="CO1337" s="50"/>
      <c r="CP1337" s="50"/>
      <c r="CQ1337" s="50"/>
      <c r="CR1337" s="50"/>
      <c r="CS1337" s="50"/>
    </row>
    <row r="1338" spans="1:97" ht="15" thickBot="1">
      <c r="A1338" s="49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111"/>
      <c r="O1338" s="111"/>
      <c r="P1338" s="111"/>
      <c r="Q1338" s="111"/>
      <c r="R1338" s="111"/>
      <c r="S1338" s="111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1"/>
      <c r="AF1338" s="111"/>
      <c r="AG1338" s="111"/>
      <c r="AH1338" s="111"/>
      <c r="AI1338" s="111"/>
      <c r="AJ1338" s="111"/>
      <c r="AK1338" s="111"/>
      <c r="AL1338" s="111"/>
      <c r="AM1338" s="111"/>
      <c r="AN1338" s="111"/>
      <c r="AO1338" s="111"/>
      <c r="AP1338" s="111"/>
      <c r="AQ1338" s="111"/>
      <c r="AR1338" s="111"/>
      <c r="AS1338" s="111"/>
      <c r="AT1338" s="111"/>
      <c r="AU1338" s="111"/>
      <c r="AV1338" s="50"/>
      <c r="AW1338" s="50"/>
      <c r="AX1338" s="50"/>
      <c r="AY1338" s="50"/>
      <c r="AZ1338" s="50"/>
      <c r="BA1338" s="50"/>
      <c r="BB1338" s="50"/>
      <c r="BC1338" s="50"/>
      <c r="BD1338" s="50"/>
      <c r="BE1338" s="50"/>
      <c r="BF1338" s="50"/>
      <c r="BG1338" s="50"/>
      <c r="BH1338" s="50"/>
      <c r="BI1338" s="50"/>
      <c r="BJ1338" s="50"/>
      <c r="BK1338" s="50"/>
      <c r="BL1338" s="50"/>
      <c r="BM1338" s="50"/>
      <c r="BN1338" s="50"/>
      <c r="BO1338" s="50"/>
      <c r="BP1338" s="50"/>
      <c r="BQ1338" s="50"/>
      <c r="BR1338" s="50"/>
      <c r="BS1338" s="111"/>
      <c r="BT1338" s="50"/>
      <c r="BU1338" s="50"/>
      <c r="BV1338" s="50"/>
      <c r="BW1338" s="50"/>
      <c r="BX1338" s="50"/>
      <c r="BY1338" s="50"/>
      <c r="BZ1338" s="50"/>
      <c r="CA1338" s="50"/>
      <c r="CB1338" s="50"/>
      <c r="CC1338" s="50"/>
      <c r="CD1338" s="50"/>
      <c r="CE1338" s="50"/>
      <c r="CF1338" s="50"/>
      <c r="CG1338" s="50"/>
      <c r="CH1338" s="50"/>
      <c r="CI1338" s="50"/>
      <c r="CJ1338" s="50"/>
      <c r="CK1338" s="50"/>
      <c r="CL1338" s="50"/>
      <c r="CM1338" s="50"/>
      <c r="CN1338" s="50"/>
      <c r="CO1338" s="50"/>
      <c r="CP1338" s="50"/>
      <c r="CQ1338" s="50"/>
      <c r="CR1338" s="50"/>
      <c r="CS1338" s="50"/>
    </row>
    <row r="1339" spans="1:97" ht="15" thickBot="1">
      <c r="A1339" s="49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111"/>
      <c r="O1339" s="111"/>
      <c r="P1339" s="111"/>
      <c r="Q1339" s="111"/>
      <c r="R1339" s="111"/>
      <c r="S1339" s="111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1"/>
      <c r="AF1339" s="111"/>
      <c r="AG1339" s="111"/>
      <c r="AH1339" s="111"/>
      <c r="AI1339" s="111"/>
      <c r="AJ1339" s="111"/>
      <c r="AK1339" s="111"/>
      <c r="AL1339" s="111"/>
      <c r="AM1339" s="111"/>
      <c r="AN1339" s="111"/>
      <c r="AO1339" s="111"/>
      <c r="AP1339" s="111"/>
      <c r="AQ1339" s="111"/>
      <c r="AR1339" s="111"/>
      <c r="AS1339" s="111"/>
      <c r="AT1339" s="111"/>
      <c r="AU1339" s="111"/>
      <c r="AV1339" s="50"/>
      <c r="AW1339" s="50"/>
      <c r="AX1339" s="50"/>
      <c r="AY1339" s="50"/>
      <c r="AZ1339" s="50"/>
      <c r="BA1339" s="50"/>
      <c r="BB1339" s="50"/>
      <c r="BC1339" s="50"/>
      <c r="BD1339" s="50"/>
      <c r="BE1339" s="50"/>
      <c r="BF1339" s="50"/>
      <c r="BG1339" s="50"/>
      <c r="BH1339" s="50"/>
      <c r="BI1339" s="50"/>
      <c r="BJ1339" s="50"/>
      <c r="BK1339" s="50"/>
      <c r="BL1339" s="50"/>
      <c r="BM1339" s="50"/>
      <c r="BN1339" s="50"/>
      <c r="BO1339" s="50"/>
      <c r="BP1339" s="50"/>
      <c r="BQ1339" s="50"/>
      <c r="BR1339" s="50"/>
      <c r="BS1339" s="111"/>
      <c r="BT1339" s="50"/>
      <c r="BU1339" s="50"/>
      <c r="BV1339" s="50"/>
      <c r="BW1339" s="50"/>
      <c r="BX1339" s="50"/>
      <c r="BY1339" s="50"/>
      <c r="BZ1339" s="50"/>
      <c r="CA1339" s="50"/>
      <c r="CB1339" s="50"/>
      <c r="CC1339" s="50"/>
      <c r="CD1339" s="50"/>
      <c r="CE1339" s="50"/>
      <c r="CF1339" s="50"/>
      <c r="CG1339" s="50"/>
      <c r="CH1339" s="50"/>
      <c r="CI1339" s="50"/>
      <c r="CJ1339" s="50"/>
      <c r="CK1339" s="50"/>
      <c r="CL1339" s="50"/>
      <c r="CM1339" s="50"/>
      <c r="CN1339" s="50"/>
      <c r="CO1339" s="50"/>
      <c r="CP1339" s="50"/>
      <c r="CQ1339" s="50"/>
      <c r="CR1339" s="50"/>
      <c r="CS1339" s="50"/>
    </row>
    <row r="1340" spans="1:97" ht="15" thickBot="1">
      <c r="A1340" s="49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111"/>
      <c r="O1340" s="111"/>
      <c r="P1340" s="111"/>
      <c r="Q1340" s="111"/>
      <c r="R1340" s="111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1"/>
      <c r="AF1340" s="111"/>
      <c r="AG1340" s="111"/>
      <c r="AH1340" s="111"/>
      <c r="AI1340" s="111"/>
      <c r="AJ1340" s="111"/>
      <c r="AK1340" s="111"/>
      <c r="AL1340" s="111"/>
      <c r="AM1340" s="111"/>
      <c r="AN1340" s="111"/>
      <c r="AO1340" s="111"/>
      <c r="AP1340" s="111"/>
      <c r="AQ1340" s="111"/>
      <c r="AR1340" s="111"/>
      <c r="AS1340" s="111"/>
      <c r="AT1340" s="111"/>
      <c r="AU1340" s="111"/>
      <c r="AV1340" s="50"/>
      <c r="AW1340" s="50"/>
      <c r="AX1340" s="50"/>
      <c r="AY1340" s="50"/>
      <c r="AZ1340" s="50"/>
      <c r="BA1340" s="50"/>
      <c r="BB1340" s="50"/>
      <c r="BC1340" s="50"/>
      <c r="BD1340" s="50"/>
      <c r="BE1340" s="50"/>
      <c r="BF1340" s="50"/>
      <c r="BG1340" s="50"/>
      <c r="BH1340" s="50"/>
      <c r="BI1340" s="50"/>
      <c r="BJ1340" s="50"/>
      <c r="BK1340" s="50"/>
      <c r="BL1340" s="50"/>
      <c r="BM1340" s="50"/>
      <c r="BN1340" s="50"/>
      <c r="BO1340" s="50"/>
      <c r="BP1340" s="50"/>
      <c r="BQ1340" s="50"/>
      <c r="BR1340" s="50"/>
      <c r="BS1340" s="111"/>
      <c r="BT1340" s="50"/>
      <c r="BU1340" s="50"/>
      <c r="BV1340" s="50"/>
      <c r="BW1340" s="50"/>
      <c r="BX1340" s="50"/>
      <c r="BY1340" s="50"/>
      <c r="BZ1340" s="50"/>
      <c r="CA1340" s="50"/>
      <c r="CB1340" s="50"/>
      <c r="CC1340" s="50"/>
      <c r="CD1340" s="50"/>
      <c r="CE1340" s="50"/>
      <c r="CF1340" s="50"/>
      <c r="CG1340" s="50"/>
      <c r="CH1340" s="50"/>
      <c r="CI1340" s="50"/>
      <c r="CJ1340" s="50"/>
      <c r="CK1340" s="50"/>
      <c r="CL1340" s="50"/>
      <c r="CM1340" s="50"/>
      <c r="CN1340" s="50"/>
      <c r="CO1340" s="50"/>
      <c r="CP1340" s="50"/>
      <c r="CQ1340" s="50"/>
      <c r="CR1340" s="50"/>
      <c r="CS1340" s="50"/>
    </row>
    <row r="1341" spans="1:97" ht="15" thickBot="1">
      <c r="A1341" s="49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111"/>
      <c r="O1341" s="111"/>
      <c r="P1341" s="111"/>
      <c r="Q1341" s="111"/>
      <c r="R1341" s="111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1"/>
      <c r="AF1341" s="111"/>
      <c r="AG1341" s="111"/>
      <c r="AH1341" s="111"/>
      <c r="AI1341" s="111"/>
      <c r="AJ1341" s="111"/>
      <c r="AK1341" s="111"/>
      <c r="AL1341" s="111"/>
      <c r="AM1341" s="111"/>
      <c r="AN1341" s="111"/>
      <c r="AO1341" s="111"/>
      <c r="AP1341" s="111"/>
      <c r="AQ1341" s="111"/>
      <c r="AR1341" s="111"/>
      <c r="AS1341" s="111"/>
      <c r="AT1341" s="111"/>
      <c r="AU1341" s="111"/>
      <c r="AV1341" s="50"/>
      <c r="AW1341" s="50"/>
      <c r="AX1341" s="50"/>
      <c r="AY1341" s="50"/>
      <c r="AZ1341" s="50"/>
      <c r="BA1341" s="50"/>
      <c r="BB1341" s="50"/>
      <c r="BC1341" s="50"/>
      <c r="BD1341" s="50"/>
      <c r="BE1341" s="50"/>
      <c r="BF1341" s="50"/>
      <c r="BG1341" s="50"/>
      <c r="BH1341" s="50"/>
      <c r="BI1341" s="50"/>
      <c r="BJ1341" s="50"/>
      <c r="BK1341" s="50"/>
      <c r="BL1341" s="50"/>
      <c r="BM1341" s="50"/>
      <c r="BN1341" s="50"/>
      <c r="BO1341" s="50"/>
      <c r="BP1341" s="50"/>
      <c r="BQ1341" s="50"/>
      <c r="BR1341" s="50"/>
      <c r="BS1341" s="111"/>
      <c r="BT1341" s="50"/>
      <c r="BU1341" s="50"/>
      <c r="BV1341" s="50"/>
      <c r="BW1341" s="50"/>
      <c r="BX1341" s="50"/>
      <c r="BY1341" s="50"/>
      <c r="BZ1341" s="50"/>
      <c r="CA1341" s="50"/>
      <c r="CB1341" s="50"/>
      <c r="CC1341" s="50"/>
      <c r="CD1341" s="50"/>
      <c r="CE1341" s="50"/>
      <c r="CF1341" s="50"/>
      <c r="CG1341" s="50"/>
      <c r="CH1341" s="50"/>
      <c r="CI1341" s="50"/>
      <c r="CJ1341" s="50"/>
      <c r="CK1341" s="50"/>
      <c r="CL1341" s="50"/>
      <c r="CM1341" s="50"/>
      <c r="CN1341" s="50"/>
      <c r="CO1341" s="50"/>
      <c r="CP1341" s="50"/>
      <c r="CQ1341" s="50"/>
      <c r="CR1341" s="50"/>
      <c r="CS1341" s="50"/>
    </row>
    <row r="1342" spans="1:97" ht="15" thickBot="1">
      <c r="A1342" s="49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111"/>
      <c r="O1342" s="111"/>
      <c r="P1342" s="111"/>
      <c r="Q1342" s="111"/>
      <c r="R1342" s="111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1"/>
      <c r="AF1342" s="111"/>
      <c r="AG1342" s="111"/>
      <c r="AH1342" s="111"/>
      <c r="AI1342" s="111"/>
      <c r="AJ1342" s="111"/>
      <c r="AK1342" s="111"/>
      <c r="AL1342" s="111"/>
      <c r="AM1342" s="111"/>
      <c r="AN1342" s="111"/>
      <c r="AO1342" s="111"/>
      <c r="AP1342" s="111"/>
      <c r="AQ1342" s="111"/>
      <c r="AR1342" s="111"/>
      <c r="AS1342" s="111"/>
      <c r="AT1342" s="111"/>
      <c r="AU1342" s="111"/>
      <c r="AV1342" s="50"/>
      <c r="AW1342" s="50"/>
      <c r="AX1342" s="50"/>
      <c r="AY1342" s="50"/>
      <c r="AZ1342" s="50"/>
      <c r="BA1342" s="50"/>
      <c r="BB1342" s="50"/>
      <c r="BC1342" s="50"/>
      <c r="BD1342" s="50"/>
      <c r="BE1342" s="50"/>
      <c r="BF1342" s="50"/>
      <c r="BG1342" s="50"/>
      <c r="BH1342" s="50"/>
      <c r="BI1342" s="50"/>
      <c r="BJ1342" s="50"/>
      <c r="BK1342" s="50"/>
      <c r="BL1342" s="50"/>
      <c r="BM1342" s="50"/>
      <c r="BN1342" s="50"/>
      <c r="BO1342" s="50"/>
      <c r="BP1342" s="50"/>
      <c r="BQ1342" s="50"/>
      <c r="BR1342" s="50"/>
      <c r="BS1342" s="111"/>
      <c r="BT1342" s="50"/>
      <c r="BU1342" s="50"/>
      <c r="BV1342" s="50"/>
      <c r="BW1342" s="50"/>
      <c r="BX1342" s="50"/>
      <c r="BY1342" s="50"/>
      <c r="BZ1342" s="50"/>
      <c r="CA1342" s="50"/>
      <c r="CB1342" s="50"/>
      <c r="CC1342" s="50"/>
      <c r="CD1342" s="50"/>
      <c r="CE1342" s="50"/>
      <c r="CF1342" s="50"/>
      <c r="CG1342" s="50"/>
      <c r="CH1342" s="50"/>
      <c r="CI1342" s="50"/>
      <c r="CJ1342" s="50"/>
      <c r="CK1342" s="50"/>
      <c r="CL1342" s="50"/>
      <c r="CM1342" s="50"/>
      <c r="CN1342" s="50"/>
      <c r="CO1342" s="50"/>
      <c r="CP1342" s="50"/>
      <c r="CQ1342" s="50"/>
      <c r="CR1342" s="50"/>
      <c r="CS1342" s="50"/>
    </row>
    <row r="1343" spans="1:97" ht="15" thickBot="1">
      <c r="A1343" s="49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111"/>
      <c r="O1343" s="111"/>
      <c r="P1343" s="111"/>
      <c r="Q1343" s="111"/>
      <c r="R1343" s="111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1"/>
      <c r="AF1343" s="111"/>
      <c r="AG1343" s="111"/>
      <c r="AH1343" s="111"/>
      <c r="AI1343" s="111"/>
      <c r="AJ1343" s="111"/>
      <c r="AK1343" s="111"/>
      <c r="AL1343" s="111"/>
      <c r="AM1343" s="111"/>
      <c r="AN1343" s="111"/>
      <c r="AO1343" s="111"/>
      <c r="AP1343" s="111"/>
      <c r="AQ1343" s="111"/>
      <c r="AR1343" s="111"/>
      <c r="AS1343" s="111"/>
      <c r="AT1343" s="111"/>
      <c r="AU1343" s="111"/>
      <c r="AV1343" s="50"/>
      <c r="AW1343" s="50"/>
      <c r="AX1343" s="50"/>
      <c r="AY1343" s="50"/>
      <c r="AZ1343" s="50"/>
      <c r="BA1343" s="50"/>
      <c r="BB1343" s="50"/>
      <c r="BC1343" s="50"/>
      <c r="BD1343" s="50"/>
      <c r="BE1343" s="50"/>
      <c r="BF1343" s="50"/>
      <c r="BG1343" s="50"/>
      <c r="BH1343" s="50"/>
      <c r="BI1343" s="50"/>
      <c r="BJ1343" s="50"/>
      <c r="BK1343" s="50"/>
      <c r="BL1343" s="50"/>
      <c r="BM1343" s="50"/>
      <c r="BN1343" s="50"/>
      <c r="BO1343" s="50"/>
      <c r="BP1343" s="50"/>
      <c r="BQ1343" s="50"/>
      <c r="BR1343" s="50"/>
      <c r="BS1343" s="111"/>
      <c r="BT1343" s="50"/>
      <c r="BU1343" s="50"/>
      <c r="BV1343" s="50"/>
      <c r="BW1343" s="50"/>
      <c r="BX1343" s="50"/>
      <c r="BY1343" s="50"/>
      <c r="BZ1343" s="50"/>
      <c r="CA1343" s="50"/>
      <c r="CB1343" s="50"/>
      <c r="CC1343" s="50"/>
      <c r="CD1343" s="50"/>
      <c r="CE1343" s="50"/>
      <c r="CF1343" s="50"/>
      <c r="CG1343" s="50"/>
      <c r="CH1343" s="50"/>
      <c r="CI1343" s="50"/>
      <c r="CJ1343" s="50"/>
      <c r="CK1343" s="50"/>
      <c r="CL1343" s="50"/>
      <c r="CM1343" s="50"/>
      <c r="CN1343" s="50"/>
      <c r="CO1343" s="50"/>
      <c r="CP1343" s="50"/>
      <c r="CQ1343" s="50"/>
      <c r="CR1343" s="50"/>
      <c r="CS1343" s="50"/>
    </row>
    <row r="1344" spans="1:97" ht="15" thickBot="1">
      <c r="A1344" s="49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111"/>
      <c r="O1344" s="111"/>
      <c r="P1344" s="111"/>
      <c r="Q1344" s="111"/>
      <c r="R1344" s="111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1"/>
      <c r="AF1344" s="111"/>
      <c r="AG1344" s="111"/>
      <c r="AH1344" s="111"/>
      <c r="AI1344" s="111"/>
      <c r="AJ1344" s="111"/>
      <c r="AK1344" s="111"/>
      <c r="AL1344" s="111"/>
      <c r="AM1344" s="111"/>
      <c r="AN1344" s="111"/>
      <c r="AO1344" s="111"/>
      <c r="AP1344" s="111"/>
      <c r="AQ1344" s="111"/>
      <c r="AR1344" s="111"/>
      <c r="AS1344" s="111"/>
      <c r="AT1344" s="111"/>
      <c r="AU1344" s="111"/>
      <c r="AV1344" s="50"/>
      <c r="AW1344" s="50"/>
      <c r="AX1344" s="50"/>
      <c r="AY1344" s="50"/>
      <c r="AZ1344" s="50"/>
      <c r="BA1344" s="50"/>
      <c r="BB1344" s="50"/>
      <c r="BC1344" s="50"/>
      <c r="BD1344" s="50"/>
      <c r="BE1344" s="50"/>
      <c r="BF1344" s="50"/>
      <c r="BG1344" s="50"/>
      <c r="BH1344" s="50"/>
      <c r="BI1344" s="50"/>
      <c r="BJ1344" s="50"/>
      <c r="BK1344" s="50"/>
      <c r="BL1344" s="50"/>
      <c r="BM1344" s="50"/>
      <c r="BN1344" s="50"/>
      <c r="BO1344" s="50"/>
      <c r="BP1344" s="50"/>
      <c r="BQ1344" s="50"/>
      <c r="BR1344" s="50"/>
      <c r="BS1344" s="111"/>
      <c r="BT1344" s="50"/>
      <c r="BU1344" s="50"/>
      <c r="BV1344" s="50"/>
      <c r="BW1344" s="50"/>
      <c r="BX1344" s="50"/>
      <c r="BY1344" s="50"/>
      <c r="BZ1344" s="50"/>
      <c r="CA1344" s="50"/>
      <c r="CB1344" s="50"/>
      <c r="CC1344" s="50"/>
      <c r="CD1344" s="50"/>
      <c r="CE1344" s="50"/>
      <c r="CF1344" s="50"/>
      <c r="CG1344" s="50"/>
      <c r="CH1344" s="50"/>
      <c r="CI1344" s="50"/>
      <c r="CJ1344" s="50"/>
      <c r="CK1344" s="50"/>
      <c r="CL1344" s="50"/>
      <c r="CM1344" s="50"/>
      <c r="CN1344" s="50"/>
      <c r="CO1344" s="50"/>
      <c r="CP1344" s="50"/>
      <c r="CQ1344" s="50"/>
      <c r="CR1344" s="50"/>
      <c r="CS1344" s="50"/>
    </row>
    <row r="1345" spans="1:97" ht="15" thickBot="1">
      <c r="A1345" s="49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111"/>
      <c r="O1345" s="111"/>
      <c r="P1345" s="111"/>
      <c r="Q1345" s="111"/>
      <c r="R1345" s="111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1"/>
      <c r="AF1345" s="111"/>
      <c r="AG1345" s="111"/>
      <c r="AH1345" s="111"/>
      <c r="AI1345" s="111"/>
      <c r="AJ1345" s="111"/>
      <c r="AK1345" s="111"/>
      <c r="AL1345" s="111"/>
      <c r="AM1345" s="111"/>
      <c r="AN1345" s="111"/>
      <c r="AO1345" s="111"/>
      <c r="AP1345" s="111"/>
      <c r="AQ1345" s="111"/>
      <c r="AR1345" s="111"/>
      <c r="AS1345" s="111"/>
      <c r="AT1345" s="111"/>
      <c r="AU1345" s="111"/>
      <c r="AV1345" s="50"/>
      <c r="AW1345" s="50"/>
      <c r="AX1345" s="50"/>
      <c r="AY1345" s="50"/>
      <c r="AZ1345" s="50"/>
      <c r="BA1345" s="50"/>
      <c r="BB1345" s="50"/>
      <c r="BC1345" s="50"/>
      <c r="BD1345" s="50"/>
      <c r="BE1345" s="50"/>
      <c r="BF1345" s="50"/>
      <c r="BG1345" s="50"/>
      <c r="BH1345" s="50"/>
      <c r="BI1345" s="50"/>
      <c r="BJ1345" s="50"/>
      <c r="BK1345" s="50"/>
      <c r="BL1345" s="50"/>
      <c r="BM1345" s="50"/>
      <c r="BN1345" s="50"/>
      <c r="BO1345" s="50"/>
      <c r="BP1345" s="50"/>
      <c r="BQ1345" s="50"/>
      <c r="BR1345" s="50"/>
      <c r="BS1345" s="111"/>
      <c r="BT1345" s="50"/>
      <c r="BU1345" s="50"/>
      <c r="BV1345" s="50"/>
      <c r="BW1345" s="50"/>
      <c r="BX1345" s="50"/>
      <c r="BY1345" s="50"/>
      <c r="BZ1345" s="50"/>
      <c r="CA1345" s="50"/>
      <c r="CB1345" s="50"/>
      <c r="CC1345" s="50"/>
      <c r="CD1345" s="50"/>
      <c r="CE1345" s="50"/>
      <c r="CF1345" s="50"/>
      <c r="CG1345" s="50"/>
      <c r="CH1345" s="50"/>
      <c r="CI1345" s="50"/>
      <c r="CJ1345" s="50"/>
      <c r="CK1345" s="50"/>
      <c r="CL1345" s="50"/>
      <c r="CM1345" s="50"/>
      <c r="CN1345" s="50"/>
      <c r="CO1345" s="50"/>
      <c r="CP1345" s="50"/>
      <c r="CQ1345" s="50"/>
      <c r="CR1345" s="50"/>
      <c r="CS1345" s="50"/>
    </row>
    <row r="1346" spans="1:97" ht="15" thickBot="1">
      <c r="A1346" s="49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111"/>
      <c r="O1346" s="111"/>
      <c r="P1346" s="111"/>
      <c r="Q1346" s="111"/>
      <c r="R1346" s="111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1"/>
      <c r="AF1346" s="111"/>
      <c r="AG1346" s="111"/>
      <c r="AH1346" s="111"/>
      <c r="AI1346" s="111"/>
      <c r="AJ1346" s="111"/>
      <c r="AK1346" s="111"/>
      <c r="AL1346" s="111"/>
      <c r="AM1346" s="111"/>
      <c r="AN1346" s="111"/>
      <c r="AO1346" s="111"/>
      <c r="AP1346" s="111"/>
      <c r="AQ1346" s="111"/>
      <c r="AR1346" s="111"/>
      <c r="AS1346" s="111"/>
      <c r="AT1346" s="111"/>
      <c r="AU1346" s="111"/>
      <c r="AV1346" s="50"/>
      <c r="AW1346" s="50"/>
      <c r="AX1346" s="50"/>
      <c r="AY1346" s="50"/>
      <c r="AZ1346" s="50"/>
      <c r="BA1346" s="50"/>
      <c r="BB1346" s="50"/>
      <c r="BC1346" s="50"/>
      <c r="BD1346" s="50"/>
      <c r="BE1346" s="50"/>
      <c r="BF1346" s="50"/>
      <c r="BG1346" s="50"/>
      <c r="BH1346" s="50"/>
      <c r="BI1346" s="50"/>
      <c r="BJ1346" s="50"/>
      <c r="BK1346" s="50"/>
      <c r="BL1346" s="50"/>
      <c r="BM1346" s="50"/>
      <c r="BN1346" s="50"/>
      <c r="BO1346" s="50"/>
      <c r="BP1346" s="50"/>
      <c r="BQ1346" s="50"/>
      <c r="BR1346" s="50"/>
      <c r="BS1346" s="111"/>
      <c r="BT1346" s="50"/>
      <c r="BU1346" s="50"/>
      <c r="BV1346" s="50"/>
      <c r="BW1346" s="50"/>
      <c r="BX1346" s="50"/>
      <c r="BY1346" s="50"/>
      <c r="BZ1346" s="50"/>
      <c r="CA1346" s="50"/>
      <c r="CB1346" s="50"/>
      <c r="CC1346" s="50"/>
      <c r="CD1346" s="50"/>
      <c r="CE1346" s="50"/>
      <c r="CF1346" s="50"/>
      <c r="CG1346" s="50"/>
      <c r="CH1346" s="50"/>
      <c r="CI1346" s="50"/>
      <c r="CJ1346" s="50"/>
      <c r="CK1346" s="50"/>
      <c r="CL1346" s="50"/>
      <c r="CM1346" s="50"/>
      <c r="CN1346" s="50"/>
      <c r="CO1346" s="50"/>
      <c r="CP1346" s="50"/>
      <c r="CQ1346" s="50"/>
      <c r="CR1346" s="50"/>
      <c r="CS1346" s="50"/>
    </row>
    <row r="1347" spans="1:97" ht="15" thickBot="1">
      <c r="A1347" s="49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111"/>
      <c r="O1347" s="111"/>
      <c r="P1347" s="111"/>
      <c r="Q1347" s="111"/>
      <c r="R1347" s="111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1"/>
      <c r="AF1347" s="111"/>
      <c r="AG1347" s="111"/>
      <c r="AH1347" s="111"/>
      <c r="AI1347" s="111"/>
      <c r="AJ1347" s="111"/>
      <c r="AK1347" s="111"/>
      <c r="AL1347" s="111"/>
      <c r="AM1347" s="111"/>
      <c r="AN1347" s="111"/>
      <c r="AO1347" s="111"/>
      <c r="AP1347" s="111"/>
      <c r="AQ1347" s="111"/>
      <c r="AR1347" s="111"/>
      <c r="AS1347" s="111"/>
      <c r="AT1347" s="111"/>
      <c r="AU1347" s="111"/>
      <c r="AV1347" s="50"/>
      <c r="AW1347" s="50"/>
      <c r="AX1347" s="50"/>
      <c r="AY1347" s="50"/>
      <c r="AZ1347" s="50"/>
      <c r="BA1347" s="50"/>
      <c r="BB1347" s="50"/>
      <c r="BC1347" s="50"/>
      <c r="BD1347" s="50"/>
      <c r="BE1347" s="50"/>
      <c r="BF1347" s="50"/>
      <c r="BG1347" s="50"/>
      <c r="BH1347" s="50"/>
      <c r="BI1347" s="50"/>
      <c r="BJ1347" s="50"/>
      <c r="BK1347" s="50"/>
      <c r="BL1347" s="50"/>
      <c r="BM1347" s="50"/>
      <c r="BN1347" s="50"/>
      <c r="BO1347" s="50"/>
      <c r="BP1347" s="50"/>
      <c r="BQ1347" s="50"/>
      <c r="BR1347" s="50"/>
      <c r="BS1347" s="111"/>
      <c r="BT1347" s="50"/>
      <c r="BU1347" s="50"/>
      <c r="BV1347" s="50"/>
      <c r="BW1347" s="50"/>
      <c r="BX1347" s="50"/>
      <c r="BY1347" s="50"/>
      <c r="BZ1347" s="50"/>
      <c r="CA1347" s="50"/>
      <c r="CB1347" s="50"/>
      <c r="CC1347" s="50"/>
      <c r="CD1347" s="50"/>
      <c r="CE1347" s="50"/>
      <c r="CF1347" s="50"/>
      <c r="CG1347" s="50"/>
      <c r="CH1347" s="50"/>
      <c r="CI1347" s="50"/>
      <c r="CJ1347" s="50"/>
      <c r="CK1347" s="50"/>
      <c r="CL1347" s="50"/>
      <c r="CM1347" s="50"/>
      <c r="CN1347" s="50"/>
      <c r="CO1347" s="50"/>
      <c r="CP1347" s="50"/>
      <c r="CQ1347" s="50"/>
      <c r="CR1347" s="50"/>
      <c r="CS1347" s="50"/>
    </row>
    <row r="1348" spans="1:97" ht="15" thickBot="1">
      <c r="A1348" s="49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111"/>
      <c r="O1348" s="111"/>
      <c r="P1348" s="111"/>
      <c r="Q1348" s="111"/>
      <c r="R1348" s="111"/>
      <c r="S1348" s="111"/>
      <c r="T1348" s="111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1"/>
      <c r="AF1348" s="111"/>
      <c r="AG1348" s="111"/>
      <c r="AH1348" s="111"/>
      <c r="AI1348" s="111"/>
      <c r="AJ1348" s="111"/>
      <c r="AK1348" s="111"/>
      <c r="AL1348" s="111"/>
      <c r="AM1348" s="111"/>
      <c r="AN1348" s="111"/>
      <c r="AO1348" s="111"/>
      <c r="AP1348" s="111"/>
      <c r="AQ1348" s="111"/>
      <c r="AR1348" s="111"/>
      <c r="AS1348" s="111"/>
      <c r="AT1348" s="111"/>
      <c r="AU1348" s="111"/>
      <c r="AV1348" s="50"/>
      <c r="AW1348" s="50"/>
      <c r="AX1348" s="50"/>
      <c r="AY1348" s="50"/>
      <c r="AZ1348" s="50"/>
      <c r="BA1348" s="50"/>
      <c r="BB1348" s="50"/>
      <c r="BC1348" s="50"/>
      <c r="BD1348" s="50"/>
      <c r="BE1348" s="50"/>
      <c r="BF1348" s="50"/>
      <c r="BG1348" s="50"/>
      <c r="BH1348" s="50"/>
      <c r="BI1348" s="50"/>
      <c r="BJ1348" s="50"/>
      <c r="BK1348" s="50"/>
      <c r="BL1348" s="50"/>
      <c r="BM1348" s="50"/>
      <c r="BN1348" s="50"/>
      <c r="BO1348" s="50"/>
      <c r="BP1348" s="50"/>
      <c r="BQ1348" s="50"/>
      <c r="BR1348" s="50"/>
      <c r="BS1348" s="111"/>
      <c r="BT1348" s="50"/>
      <c r="BU1348" s="50"/>
      <c r="BV1348" s="50"/>
      <c r="BW1348" s="50"/>
      <c r="BX1348" s="50"/>
      <c r="BY1348" s="50"/>
      <c r="BZ1348" s="50"/>
      <c r="CA1348" s="50"/>
      <c r="CB1348" s="50"/>
      <c r="CC1348" s="50"/>
      <c r="CD1348" s="50"/>
      <c r="CE1348" s="50"/>
      <c r="CF1348" s="50"/>
      <c r="CG1348" s="50"/>
      <c r="CH1348" s="50"/>
      <c r="CI1348" s="50"/>
      <c r="CJ1348" s="50"/>
      <c r="CK1348" s="50"/>
      <c r="CL1348" s="50"/>
      <c r="CM1348" s="50"/>
      <c r="CN1348" s="50"/>
      <c r="CO1348" s="50"/>
      <c r="CP1348" s="50"/>
      <c r="CQ1348" s="50"/>
      <c r="CR1348" s="50"/>
      <c r="CS1348" s="50"/>
    </row>
    <row r="1349" spans="1:97" ht="15" thickBot="1">
      <c r="A1349" s="49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111"/>
      <c r="O1349" s="111"/>
      <c r="P1349" s="111"/>
      <c r="Q1349" s="111"/>
      <c r="R1349" s="111"/>
      <c r="S1349" s="111"/>
      <c r="T1349" s="111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1"/>
      <c r="AF1349" s="111"/>
      <c r="AG1349" s="111"/>
      <c r="AH1349" s="111"/>
      <c r="AI1349" s="111"/>
      <c r="AJ1349" s="111"/>
      <c r="AK1349" s="111"/>
      <c r="AL1349" s="111"/>
      <c r="AM1349" s="111"/>
      <c r="AN1349" s="111"/>
      <c r="AO1349" s="111"/>
      <c r="AP1349" s="111"/>
      <c r="AQ1349" s="111"/>
      <c r="AR1349" s="111"/>
      <c r="AS1349" s="111"/>
      <c r="AT1349" s="111"/>
      <c r="AU1349" s="111"/>
      <c r="AV1349" s="50"/>
      <c r="AW1349" s="50"/>
      <c r="AX1349" s="50"/>
      <c r="AY1349" s="50"/>
      <c r="AZ1349" s="50"/>
      <c r="BA1349" s="50"/>
      <c r="BB1349" s="50"/>
      <c r="BC1349" s="50"/>
      <c r="BD1349" s="50"/>
      <c r="BE1349" s="50"/>
      <c r="BF1349" s="50"/>
      <c r="BG1349" s="50"/>
      <c r="BH1349" s="50"/>
      <c r="BI1349" s="50"/>
      <c r="BJ1349" s="50"/>
      <c r="BK1349" s="50"/>
      <c r="BL1349" s="50"/>
      <c r="BM1349" s="50"/>
      <c r="BN1349" s="50"/>
      <c r="BO1349" s="50"/>
      <c r="BP1349" s="50"/>
      <c r="BQ1349" s="50"/>
      <c r="BR1349" s="50"/>
      <c r="BS1349" s="111"/>
      <c r="BT1349" s="50"/>
      <c r="BU1349" s="50"/>
      <c r="BV1349" s="50"/>
      <c r="BW1349" s="50"/>
      <c r="BX1349" s="50"/>
      <c r="BY1349" s="50"/>
      <c r="BZ1349" s="50"/>
      <c r="CA1349" s="50"/>
      <c r="CB1349" s="50"/>
      <c r="CC1349" s="50"/>
      <c r="CD1349" s="50"/>
      <c r="CE1349" s="50"/>
      <c r="CF1349" s="50"/>
      <c r="CG1349" s="50"/>
      <c r="CH1349" s="50"/>
      <c r="CI1349" s="50"/>
      <c r="CJ1349" s="50"/>
      <c r="CK1349" s="50"/>
      <c r="CL1349" s="50"/>
      <c r="CM1349" s="50"/>
      <c r="CN1349" s="50"/>
      <c r="CO1349" s="50"/>
      <c r="CP1349" s="50"/>
      <c r="CQ1349" s="50"/>
      <c r="CR1349" s="50"/>
      <c r="CS1349" s="50"/>
    </row>
    <row r="1350" spans="1:97" ht="15" thickBot="1">
      <c r="A1350" s="49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111"/>
      <c r="O1350" s="111"/>
      <c r="P1350" s="111"/>
      <c r="Q1350" s="111"/>
      <c r="R1350" s="111"/>
      <c r="S1350" s="111"/>
      <c r="T1350" s="111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1"/>
      <c r="AF1350" s="111"/>
      <c r="AG1350" s="111"/>
      <c r="AH1350" s="111"/>
      <c r="AI1350" s="111"/>
      <c r="AJ1350" s="111"/>
      <c r="AK1350" s="111"/>
      <c r="AL1350" s="111"/>
      <c r="AM1350" s="111"/>
      <c r="AN1350" s="111"/>
      <c r="AO1350" s="111"/>
      <c r="AP1350" s="111"/>
      <c r="AQ1350" s="111"/>
      <c r="AR1350" s="111"/>
      <c r="AS1350" s="111"/>
      <c r="AT1350" s="111"/>
      <c r="AU1350" s="111"/>
      <c r="AV1350" s="50"/>
      <c r="AW1350" s="50"/>
      <c r="AX1350" s="50"/>
      <c r="AY1350" s="50"/>
      <c r="AZ1350" s="50"/>
      <c r="BA1350" s="50"/>
      <c r="BB1350" s="50"/>
      <c r="BC1350" s="50"/>
      <c r="BD1350" s="50"/>
      <c r="BE1350" s="50"/>
      <c r="BF1350" s="50"/>
      <c r="BG1350" s="50"/>
      <c r="BH1350" s="50"/>
      <c r="BI1350" s="50"/>
      <c r="BJ1350" s="50"/>
      <c r="BK1350" s="50"/>
      <c r="BL1350" s="50"/>
      <c r="BM1350" s="50"/>
      <c r="BN1350" s="50"/>
      <c r="BO1350" s="50"/>
      <c r="BP1350" s="50"/>
      <c r="BQ1350" s="50"/>
      <c r="BR1350" s="50"/>
      <c r="BS1350" s="111"/>
      <c r="BT1350" s="50"/>
      <c r="BU1350" s="50"/>
      <c r="BV1350" s="50"/>
      <c r="BW1350" s="50"/>
      <c r="BX1350" s="50"/>
      <c r="BY1350" s="50"/>
      <c r="BZ1350" s="50"/>
      <c r="CA1350" s="50"/>
      <c r="CB1350" s="50"/>
      <c r="CC1350" s="50"/>
      <c r="CD1350" s="50"/>
      <c r="CE1350" s="50"/>
      <c r="CF1350" s="50"/>
      <c r="CG1350" s="50"/>
      <c r="CH1350" s="50"/>
      <c r="CI1350" s="50"/>
      <c r="CJ1350" s="50"/>
      <c r="CK1350" s="50"/>
      <c r="CL1350" s="50"/>
      <c r="CM1350" s="50"/>
      <c r="CN1350" s="50"/>
      <c r="CO1350" s="50"/>
      <c r="CP1350" s="50"/>
      <c r="CQ1350" s="50"/>
      <c r="CR1350" s="50"/>
      <c r="CS1350" s="50"/>
    </row>
    <row r="1351" spans="1:97" ht="15" thickBot="1">
      <c r="A1351" s="49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111"/>
      <c r="O1351" s="111"/>
      <c r="P1351" s="111"/>
      <c r="Q1351" s="111"/>
      <c r="R1351" s="111"/>
      <c r="S1351" s="111"/>
      <c r="T1351" s="111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1"/>
      <c r="AF1351" s="111"/>
      <c r="AG1351" s="111"/>
      <c r="AH1351" s="111"/>
      <c r="AI1351" s="111"/>
      <c r="AJ1351" s="111"/>
      <c r="AK1351" s="111"/>
      <c r="AL1351" s="111"/>
      <c r="AM1351" s="111"/>
      <c r="AN1351" s="111"/>
      <c r="AO1351" s="111"/>
      <c r="AP1351" s="111"/>
      <c r="AQ1351" s="111"/>
      <c r="AR1351" s="111"/>
      <c r="AS1351" s="111"/>
      <c r="AT1351" s="111"/>
      <c r="AU1351" s="111"/>
      <c r="AV1351" s="50"/>
      <c r="AW1351" s="50"/>
      <c r="AX1351" s="50"/>
      <c r="AY1351" s="50"/>
      <c r="AZ1351" s="50"/>
      <c r="BA1351" s="50"/>
      <c r="BB1351" s="50"/>
      <c r="BC1351" s="50"/>
      <c r="BD1351" s="50"/>
      <c r="BE1351" s="50"/>
      <c r="BF1351" s="50"/>
      <c r="BG1351" s="50"/>
      <c r="BH1351" s="50"/>
      <c r="BI1351" s="50"/>
      <c r="BJ1351" s="50"/>
      <c r="BK1351" s="50"/>
      <c r="BL1351" s="50"/>
      <c r="BM1351" s="50"/>
      <c r="BN1351" s="50"/>
      <c r="BO1351" s="50"/>
      <c r="BP1351" s="50"/>
      <c r="BQ1351" s="50"/>
      <c r="BR1351" s="50"/>
      <c r="BS1351" s="111"/>
      <c r="BT1351" s="50"/>
      <c r="BU1351" s="50"/>
      <c r="BV1351" s="50"/>
      <c r="BW1351" s="50"/>
      <c r="BX1351" s="50"/>
      <c r="BY1351" s="50"/>
      <c r="BZ1351" s="50"/>
      <c r="CA1351" s="50"/>
      <c r="CB1351" s="50"/>
      <c r="CC1351" s="50"/>
      <c r="CD1351" s="50"/>
      <c r="CE1351" s="50"/>
      <c r="CF1351" s="50"/>
      <c r="CG1351" s="50"/>
      <c r="CH1351" s="50"/>
      <c r="CI1351" s="50"/>
      <c r="CJ1351" s="50"/>
      <c r="CK1351" s="50"/>
      <c r="CL1351" s="50"/>
      <c r="CM1351" s="50"/>
      <c r="CN1351" s="50"/>
      <c r="CO1351" s="50"/>
      <c r="CP1351" s="50"/>
      <c r="CQ1351" s="50"/>
      <c r="CR1351" s="50"/>
      <c r="CS1351" s="50"/>
    </row>
    <row r="1352" spans="1:97" ht="15" thickBot="1">
      <c r="A1352" s="49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111"/>
      <c r="O1352" s="111"/>
      <c r="P1352" s="111"/>
      <c r="Q1352" s="111"/>
      <c r="R1352" s="111"/>
      <c r="S1352" s="111"/>
      <c r="T1352" s="111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1"/>
      <c r="AF1352" s="111"/>
      <c r="AG1352" s="111"/>
      <c r="AH1352" s="111"/>
      <c r="AI1352" s="111"/>
      <c r="AJ1352" s="111"/>
      <c r="AK1352" s="111"/>
      <c r="AL1352" s="111"/>
      <c r="AM1352" s="111"/>
      <c r="AN1352" s="111"/>
      <c r="AO1352" s="111"/>
      <c r="AP1352" s="111"/>
      <c r="AQ1352" s="111"/>
      <c r="AR1352" s="111"/>
      <c r="AS1352" s="111"/>
      <c r="AT1352" s="111"/>
      <c r="AU1352" s="111"/>
      <c r="AV1352" s="50"/>
      <c r="AW1352" s="50"/>
      <c r="AX1352" s="50"/>
      <c r="AY1352" s="50"/>
      <c r="AZ1352" s="50"/>
      <c r="BA1352" s="50"/>
      <c r="BB1352" s="50"/>
      <c r="BC1352" s="50"/>
      <c r="BD1352" s="50"/>
      <c r="BE1352" s="50"/>
      <c r="BF1352" s="50"/>
      <c r="BG1352" s="50"/>
      <c r="BH1352" s="50"/>
      <c r="BI1352" s="50"/>
      <c r="BJ1352" s="50"/>
      <c r="BK1352" s="50"/>
      <c r="BL1352" s="50"/>
      <c r="BM1352" s="50"/>
      <c r="BN1352" s="50"/>
      <c r="BO1352" s="50"/>
      <c r="BP1352" s="50"/>
      <c r="BQ1352" s="50"/>
      <c r="BR1352" s="50"/>
      <c r="BS1352" s="111"/>
      <c r="BT1352" s="50"/>
      <c r="BU1352" s="50"/>
      <c r="BV1352" s="50"/>
      <c r="BW1352" s="50"/>
      <c r="BX1352" s="50"/>
      <c r="BY1352" s="50"/>
      <c r="BZ1352" s="50"/>
      <c r="CA1352" s="50"/>
      <c r="CB1352" s="50"/>
      <c r="CC1352" s="50"/>
      <c r="CD1352" s="50"/>
      <c r="CE1352" s="50"/>
      <c r="CF1352" s="50"/>
      <c r="CG1352" s="50"/>
      <c r="CH1352" s="50"/>
      <c r="CI1352" s="50"/>
      <c r="CJ1352" s="50"/>
      <c r="CK1352" s="50"/>
      <c r="CL1352" s="50"/>
      <c r="CM1352" s="50"/>
      <c r="CN1352" s="50"/>
      <c r="CO1352" s="50"/>
      <c r="CP1352" s="50"/>
      <c r="CQ1352" s="50"/>
      <c r="CR1352" s="50"/>
      <c r="CS1352" s="50"/>
    </row>
    <row r="1353" spans="1:97" ht="15" thickBot="1">
      <c r="A1353" s="49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111"/>
      <c r="O1353" s="111"/>
      <c r="P1353" s="111"/>
      <c r="Q1353" s="111"/>
      <c r="R1353" s="111"/>
      <c r="S1353" s="111"/>
      <c r="T1353" s="111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1"/>
      <c r="AF1353" s="111"/>
      <c r="AG1353" s="111"/>
      <c r="AH1353" s="111"/>
      <c r="AI1353" s="111"/>
      <c r="AJ1353" s="111"/>
      <c r="AK1353" s="111"/>
      <c r="AL1353" s="111"/>
      <c r="AM1353" s="111"/>
      <c r="AN1353" s="111"/>
      <c r="AO1353" s="111"/>
      <c r="AP1353" s="111"/>
      <c r="AQ1353" s="111"/>
      <c r="AR1353" s="111"/>
      <c r="AS1353" s="111"/>
      <c r="AT1353" s="111"/>
      <c r="AU1353" s="111"/>
      <c r="AV1353" s="50"/>
      <c r="AW1353" s="50"/>
      <c r="AX1353" s="50"/>
      <c r="AY1353" s="50"/>
      <c r="AZ1353" s="50"/>
      <c r="BA1353" s="50"/>
      <c r="BB1353" s="50"/>
      <c r="BC1353" s="50"/>
      <c r="BD1353" s="50"/>
      <c r="BE1353" s="50"/>
      <c r="BF1353" s="50"/>
      <c r="BG1353" s="50"/>
      <c r="BH1353" s="50"/>
      <c r="BI1353" s="50"/>
      <c r="BJ1353" s="50"/>
      <c r="BK1353" s="50"/>
      <c r="BL1353" s="50"/>
      <c r="BM1353" s="50"/>
      <c r="BN1353" s="50"/>
      <c r="BO1353" s="50"/>
      <c r="BP1353" s="50"/>
      <c r="BQ1353" s="50"/>
      <c r="BR1353" s="50"/>
      <c r="BS1353" s="111"/>
      <c r="BT1353" s="50"/>
      <c r="BU1353" s="50"/>
      <c r="BV1353" s="50"/>
      <c r="BW1353" s="50"/>
      <c r="BX1353" s="50"/>
      <c r="BY1353" s="50"/>
      <c r="BZ1353" s="50"/>
      <c r="CA1353" s="50"/>
      <c r="CB1353" s="50"/>
      <c r="CC1353" s="50"/>
      <c r="CD1353" s="50"/>
      <c r="CE1353" s="50"/>
      <c r="CF1353" s="50"/>
      <c r="CG1353" s="50"/>
      <c r="CH1353" s="50"/>
      <c r="CI1353" s="50"/>
      <c r="CJ1353" s="50"/>
      <c r="CK1353" s="50"/>
      <c r="CL1353" s="50"/>
      <c r="CM1353" s="50"/>
      <c r="CN1353" s="50"/>
      <c r="CO1353" s="50"/>
      <c r="CP1353" s="50"/>
      <c r="CQ1353" s="50"/>
      <c r="CR1353" s="50"/>
      <c r="CS1353" s="50"/>
    </row>
    <row r="1354" spans="1:97" ht="15" thickBot="1">
      <c r="A1354" s="49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111"/>
      <c r="O1354" s="111"/>
      <c r="P1354" s="111"/>
      <c r="Q1354" s="111"/>
      <c r="R1354" s="111"/>
      <c r="S1354" s="111"/>
      <c r="T1354" s="111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1"/>
      <c r="AF1354" s="111"/>
      <c r="AG1354" s="111"/>
      <c r="AH1354" s="111"/>
      <c r="AI1354" s="111"/>
      <c r="AJ1354" s="111"/>
      <c r="AK1354" s="111"/>
      <c r="AL1354" s="111"/>
      <c r="AM1354" s="111"/>
      <c r="AN1354" s="111"/>
      <c r="AO1354" s="111"/>
      <c r="AP1354" s="111"/>
      <c r="AQ1354" s="111"/>
      <c r="AR1354" s="111"/>
      <c r="AS1354" s="111"/>
      <c r="AT1354" s="111"/>
      <c r="AU1354" s="111"/>
      <c r="AV1354" s="50"/>
      <c r="AW1354" s="50"/>
      <c r="AX1354" s="50"/>
      <c r="AY1354" s="50"/>
      <c r="AZ1354" s="50"/>
      <c r="BA1354" s="50"/>
      <c r="BB1354" s="50"/>
      <c r="BC1354" s="50"/>
      <c r="BD1354" s="50"/>
      <c r="BE1354" s="50"/>
      <c r="BF1354" s="50"/>
      <c r="BG1354" s="50"/>
      <c r="BH1354" s="50"/>
      <c r="BI1354" s="50"/>
      <c r="BJ1354" s="50"/>
      <c r="BK1354" s="50"/>
      <c r="BL1354" s="50"/>
      <c r="BM1354" s="50"/>
      <c r="BN1354" s="50"/>
      <c r="BO1354" s="50"/>
      <c r="BP1354" s="50"/>
      <c r="BQ1354" s="50"/>
      <c r="BR1354" s="50"/>
      <c r="BS1354" s="111"/>
      <c r="BT1354" s="50"/>
      <c r="BU1354" s="50"/>
      <c r="BV1354" s="50"/>
      <c r="BW1354" s="50"/>
      <c r="BX1354" s="50"/>
      <c r="BY1354" s="50"/>
      <c r="BZ1354" s="50"/>
      <c r="CA1354" s="50"/>
      <c r="CB1354" s="50"/>
      <c r="CC1354" s="50"/>
      <c r="CD1354" s="50"/>
      <c r="CE1354" s="50"/>
      <c r="CF1354" s="50"/>
      <c r="CG1354" s="50"/>
      <c r="CH1354" s="50"/>
      <c r="CI1354" s="50"/>
      <c r="CJ1354" s="50"/>
      <c r="CK1354" s="50"/>
      <c r="CL1354" s="50"/>
      <c r="CM1354" s="50"/>
      <c r="CN1354" s="50"/>
      <c r="CO1354" s="50"/>
      <c r="CP1354" s="50"/>
      <c r="CQ1354" s="50"/>
      <c r="CR1354" s="50"/>
      <c r="CS1354" s="50"/>
    </row>
    <row r="1355" spans="1:97" ht="15" thickBot="1">
      <c r="A1355" s="49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111"/>
      <c r="O1355" s="111"/>
      <c r="P1355" s="111"/>
      <c r="Q1355" s="111"/>
      <c r="R1355" s="111"/>
      <c r="S1355" s="111"/>
      <c r="T1355" s="111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1"/>
      <c r="AF1355" s="111"/>
      <c r="AG1355" s="111"/>
      <c r="AH1355" s="111"/>
      <c r="AI1355" s="111"/>
      <c r="AJ1355" s="111"/>
      <c r="AK1355" s="111"/>
      <c r="AL1355" s="111"/>
      <c r="AM1355" s="111"/>
      <c r="AN1355" s="111"/>
      <c r="AO1355" s="111"/>
      <c r="AP1355" s="111"/>
      <c r="AQ1355" s="111"/>
      <c r="AR1355" s="111"/>
      <c r="AS1355" s="111"/>
      <c r="AT1355" s="111"/>
      <c r="AU1355" s="111"/>
      <c r="AV1355" s="50"/>
      <c r="AW1355" s="50"/>
      <c r="AX1355" s="50"/>
      <c r="AY1355" s="50"/>
      <c r="AZ1355" s="50"/>
      <c r="BA1355" s="50"/>
      <c r="BB1355" s="50"/>
      <c r="BC1355" s="50"/>
      <c r="BD1355" s="50"/>
      <c r="BE1355" s="50"/>
      <c r="BF1355" s="50"/>
      <c r="BG1355" s="50"/>
      <c r="BH1355" s="50"/>
      <c r="BI1355" s="50"/>
      <c r="BJ1355" s="50"/>
      <c r="BK1355" s="50"/>
      <c r="BL1355" s="50"/>
      <c r="BM1355" s="50"/>
      <c r="BN1355" s="50"/>
      <c r="BO1355" s="50"/>
      <c r="BP1355" s="50"/>
      <c r="BQ1355" s="50"/>
      <c r="BR1355" s="50"/>
      <c r="BS1355" s="111"/>
      <c r="BT1355" s="50"/>
      <c r="BU1355" s="50"/>
      <c r="BV1355" s="50"/>
      <c r="BW1355" s="50"/>
      <c r="BX1355" s="50"/>
      <c r="BY1355" s="50"/>
      <c r="BZ1355" s="50"/>
      <c r="CA1355" s="50"/>
      <c r="CB1355" s="50"/>
      <c r="CC1355" s="50"/>
      <c r="CD1355" s="50"/>
      <c r="CE1355" s="50"/>
      <c r="CF1355" s="50"/>
      <c r="CG1355" s="50"/>
      <c r="CH1355" s="50"/>
      <c r="CI1355" s="50"/>
      <c r="CJ1355" s="50"/>
      <c r="CK1355" s="50"/>
      <c r="CL1355" s="50"/>
      <c r="CM1355" s="50"/>
      <c r="CN1355" s="50"/>
      <c r="CO1355" s="50"/>
      <c r="CP1355" s="50"/>
      <c r="CQ1355" s="50"/>
      <c r="CR1355" s="50"/>
      <c r="CS1355" s="50"/>
    </row>
    <row r="1356" spans="1:97" ht="15" thickBot="1">
      <c r="A1356" s="49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111"/>
      <c r="O1356" s="111"/>
      <c r="P1356" s="111"/>
      <c r="Q1356" s="111"/>
      <c r="R1356" s="111"/>
      <c r="S1356" s="111"/>
      <c r="T1356" s="111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1"/>
      <c r="AF1356" s="111"/>
      <c r="AG1356" s="111"/>
      <c r="AH1356" s="111"/>
      <c r="AI1356" s="111"/>
      <c r="AJ1356" s="111"/>
      <c r="AK1356" s="111"/>
      <c r="AL1356" s="111"/>
      <c r="AM1356" s="111"/>
      <c r="AN1356" s="111"/>
      <c r="AO1356" s="111"/>
      <c r="AP1356" s="111"/>
      <c r="AQ1356" s="111"/>
      <c r="AR1356" s="111"/>
      <c r="AS1356" s="111"/>
      <c r="AT1356" s="111"/>
      <c r="AU1356" s="111"/>
      <c r="AV1356" s="50"/>
      <c r="AW1356" s="50"/>
      <c r="AX1356" s="50"/>
      <c r="AY1356" s="50"/>
      <c r="AZ1356" s="50"/>
      <c r="BA1356" s="50"/>
      <c r="BB1356" s="50"/>
      <c r="BC1356" s="50"/>
      <c r="BD1356" s="50"/>
      <c r="BE1356" s="50"/>
      <c r="BF1356" s="50"/>
      <c r="BG1356" s="50"/>
      <c r="BH1356" s="50"/>
      <c r="BI1356" s="50"/>
      <c r="BJ1356" s="50"/>
      <c r="BK1356" s="50"/>
      <c r="BL1356" s="50"/>
      <c r="BM1356" s="50"/>
      <c r="BN1356" s="50"/>
      <c r="BO1356" s="50"/>
      <c r="BP1356" s="50"/>
      <c r="BQ1356" s="50"/>
      <c r="BR1356" s="50"/>
      <c r="BS1356" s="111"/>
      <c r="BT1356" s="50"/>
      <c r="BU1356" s="50"/>
      <c r="BV1356" s="50"/>
      <c r="BW1356" s="50"/>
      <c r="BX1356" s="50"/>
      <c r="BY1356" s="50"/>
      <c r="BZ1356" s="50"/>
      <c r="CA1356" s="50"/>
      <c r="CB1356" s="50"/>
      <c r="CC1356" s="50"/>
      <c r="CD1356" s="50"/>
      <c r="CE1356" s="50"/>
      <c r="CF1356" s="50"/>
      <c r="CG1356" s="50"/>
      <c r="CH1356" s="50"/>
      <c r="CI1356" s="50"/>
      <c r="CJ1356" s="50"/>
      <c r="CK1356" s="50"/>
      <c r="CL1356" s="50"/>
      <c r="CM1356" s="50"/>
      <c r="CN1356" s="50"/>
      <c r="CO1356" s="50"/>
      <c r="CP1356" s="50"/>
      <c r="CQ1356" s="50"/>
      <c r="CR1356" s="50"/>
      <c r="CS1356" s="50"/>
    </row>
    <row r="1357" spans="1:97" ht="15" thickBot="1">
      <c r="A1357" s="49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111"/>
      <c r="O1357" s="111"/>
      <c r="P1357" s="111"/>
      <c r="Q1357" s="111"/>
      <c r="R1357" s="111"/>
      <c r="S1357" s="111"/>
      <c r="T1357" s="111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1"/>
      <c r="AF1357" s="111"/>
      <c r="AG1357" s="111"/>
      <c r="AH1357" s="111"/>
      <c r="AI1357" s="111"/>
      <c r="AJ1357" s="111"/>
      <c r="AK1357" s="111"/>
      <c r="AL1357" s="111"/>
      <c r="AM1357" s="111"/>
      <c r="AN1357" s="111"/>
      <c r="AO1357" s="111"/>
      <c r="AP1357" s="111"/>
      <c r="AQ1357" s="111"/>
      <c r="AR1357" s="111"/>
      <c r="AS1357" s="111"/>
      <c r="AT1357" s="111"/>
      <c r="AU1357" s="111"/>
      <c r="AV1357" s="50"/>
      <c r="AW1357" s="50"/>
      <c r="AX1357" s="50"/>
      <c r="AY1357" s="50"/>
      <c r="AZ1357" s="50"/>
      <c r="BA1357" s="50"/>
      <c r="BB1357" s="50"/>
      <c r="BC1357" s="50"/>
      <c r="BD1357" s="50"/>
      <c r="BE1357" s="50"/>
      <c r="BF1357" s="50"/>
      <c r="BG1357" s="50"/>
      <c r="BH1357" s="50"/>
      <c r="BI1357" s="50"/>
      <c r="BJ1357" s="50"/>
      <c r="BK1357" s="50"/>
      <c r="BL1357" s="50"/>
      <c r="BM1357" s="50"/>
      <c r="BN1357" s="50"/>
      <c r="BO1357" s="50"/>
      <c r="BP1357" s="50"/>
      <c r="BQ1357" s="50"/>
      <c r="BR1357" s="50"/>
      <c r="BS1357" s="111"/>
      <c r="BT1357" s="50"/>
      <c r="BU1357" s="50"/>
      <c r="BV1357" s="50"/>
      <c r="BW1357" s="50"/>
      <c r="BX1357" s="50"/>
      <c r="BY1357" s="50"/>
      <c r="BZ1357" s="50"/>
      <c r="CA1357" s="50"/>
      <c r="CB1357" s="50"/>
      <c r="CC1357" s="50"/>
      <c r="CD1357" s="50"/>
      <c r="CE1357" s="50"/>
      <c r="CF1357" s="50"/>
      <c r="CG1357" s="50"/>
      <c r="CH1357" s="50"/>
      <c r="CI1357" s="50"/>
      <c r="CJ1357" s="50"/>
      <c r="CK1357" s="50"/>
      <c r="CL1357" s="50"/>
      <c r="CM1357" s="50"/>
      <c r="CN1357" s="50"/>
      <c r="CO1357" s="50"/>
      <c r="CP1357" s="50"/>
      <c r="CQ1357" s="50"/>
      <c r="CR1357" s="50"/>
      <c r="CS1357" s="50"/>
    </row>
    <row r="1358" spans="1:97" ht="15" thickBot="1">
      <c r="A1358" s="49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111"/>
      <c r="O1358" s="111"/>
      <c r="P1358" s="111"/>
      <c r="Q1358" s="111"/>
      <c r="R1358" s="111"/>
      <c r="S1358" s="111"/>
      <c r="T1358" s="111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1"/>
      <c r="AF1358" s="111"/>
      <c r="AG1358" s="111"/>
      <c r="AH1358" s="111"/>
      <c r="AI1358" s="111"/>
      <c r="AJ1358" s="111"/>
      <c r="AK1358" s="111"/>
      <c r="AL1358" s="111"/>
      <c r="AM1358" s="111"/>
      <c r="AN1358" s="111"/>
      <c r="AO1358" s="111"/>
      <c r="AP1358" s="111"/>
      <c r="AQ1358" s="111"/>
      <c r="AR1358" s="111"/>
      <c r="AS1358" s="111"/>
      <c r="AT1358" s="111"/>
      <c r="AU1358" s="111"/>
      <c r="AV1358" s="50"/>
      <c r="AW1358" s="50"/>
      <c r="AX1358" s="50"/>
      <c r="AY1358" s="50"/>
      <c r="AZ1358" s="50"/>
      <c r="BA1358" s="50"/>
      <c r="BB1358" s="50"/>
      <c r="BC1358" s="50"/>
      <c r="BD1358" s="50"/>
      <c r="BE1358" s="50"/>
      <c r="BF1358" s="50"/>
      <c r="BG1358" s="50"/>
      <c r="BH1358" s="50"/>
      <c r="BI1358" s="50"/>
      <c r="BJ1358" s="50"/>
      <c r="BK1358" s="50"/>
      <c r="BL1358" s="50"/>
      <c r="BM1358" s="50"/>
      <c r="BN1358" s="50"/>
      <c r="BO1358" s="50"/>
      <c r="BP1358" s="50"/>
      <c r="BQ1358" s="50"/>
      <c r="BR1358" s="50"/>
      <c r="BS1358" s="111"/>
      <c r="BT1358" s="50"/>
      <c r="BU1358" s="50"/>
      <c r="BV1358" s="50"/>
      <c r="BW1358" s="50"/>
      <c r="BX1358" s="50"/>
      <c r="BY1358" s="50"/>
      <c r="BZ1358" s="50"/>
      <c r="CA1358" s="50"/>
      <c r="CB1358" s="50"/>
      <c r="CC1358" s="50"/>
      <c r="CD1358" s="50"/>
      <c r="CE1358" s="50"/>
      <c r="CF1358" s="50"/>
      <c r="CG1358" s="50"/>
      <c r="CH1358" s="50"/>
      <c r="CI1358" s="50"/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</row>
    <row r="1359" spans="1:97" ht="15" thickBot="1">
      <c r="A1359" s="49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111"/>
      <c r="O1359" s="111"/>
      <c r="P1359" s="111"/>
      <c r="Q1359" s="111"/>
      <c r="R1359" s="111"/>
      <c r="S1359" s="111"/>
      <c r="T1359" s="111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1"/>
      <c r="AF1359" s="111"/>
      <c r="AG1359" s="111"/>
      <c r="AH1359" s="111"/>
      <c r="AI1359" s="111"/>
      <c r="AJ1359" s="111"/>
      <c r="AK1359" s="111"/>
      <c r="AL1359" s="111"/>
      <c r="AM1359" s="111"/>
      <c r="AN1359" s="111"/>
      <c r="AO1359" s="111"/>
      <c r="AP1359" s="111"/>
      <c r="AQ1359" s="111"/>
      <c r="AR1359" s="111"/>
      <c r="AS1359" s="111"/>
      <c r="AT1359" s="111"/>
      <c r="AU1359" s="111"/>
      <c r="AV1359" s="50"/>
      <c r="AW1359" s="50"/>
      <c r="AX1359" s="50"/>
      <c r="AY1359" s="50"/>
      <c r="AZ1359" s="50"/>
      <c r="BA1359" s="50"/>
      <c r="BB1359" s="50"/>
      <c r="BC1359" s="50"/>
      <c r="BD1359" s="50"/>
      <c r="BE1359" s="50"/>
      <c r="BF1359" s="50"/>
      <c r="BG1359" s="50"/>
      <c r="BH1359" s="50"/>
      <c r="BI1359" s="50"/>
      <c r="BJ1359" s="50"/>
      <c r="BK1359" s="50"/>
      <c r="BL1359" s="50"/>
      <c r="BM1359" s="50"/>
      <c r="BN1359" s="50"/>
      <c r="BO1359" s="50"/>
      <c r="BP1359" s="50"/>
      <c r="BQ1359" s="50"/>
      <c r="BR1359" s="50"/>
      <c r="BS1359" s="111"/>
      <c r="BT1359" s="50"/>
      <c r="BU1359" s="50"/>
      <c r="BV1359" s="50"/>
      <c r="BW1359" s="50"/>
      <c r="BX1359" s="50"/>
      <c r="BY1359" s="50"/>
      <c r="BZ1359" s="50"/>
      <c r="CA1359" s="50"/>
      <c r="CB1359" s="50"/>
      <c r="CC1359" s="50"/>
      <c r="CD1359" s="50"/>
      <c r="CE1359" s="50"/>
      <c r="CF1359" s="50"/>
      <c r="CG1359" s="50"/>
      <c r="CH1359" s="50"/>
      <c r="CI1359" s="50"/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</row>
    <row r="1360" spans="1:97" ht="15" thickBot="1">
      <c r="A1360" s="49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111"/>
      <c r="O1360" s="111"/>
      <c r="P1360" s="111"/>
      <c r="Q1360" s="111"/>
      <c r="R1360" s="111"/>
      <c r="S1360" s="111"/>
      <c r="T1360" s="111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1"/>
      <c r="AF1360" s="111"/>
      <c r="AG1360" s="111"/>
      <c r="AH1360" s="111"/>
      <c r="AI1360" s="111"/>
      <c r="AJ1360" s="111"/>
      <c r="AK1360" s="111"/>
      <c r="AL1360" s="111"/>
      <c r="AM1360" s="111"/>
      <c r="AN1360" s="111"/>
      <c r="AO1360" s="111"/>
      <c r="AP1360" s="111"/>
      <c r="AQ1360" s="111"/>
      <c r="AR1360" s="111"/>
      <c r="AS1360" s="111"/>
      <c r="AT1360" s="111"/>
      <c r="AU1360" s="111"/>
      <c r="AV1360" s="50"/>
      <c r="AW1360" s="50"/>
      <c r="AX1360" s="50"/>
      <c r="AY1360" s="50"/>
      <c r="AZ1360" s="50"/>
      <c r="BA1360" s="50"/>
      <c r="BB1360" s="50"/>
      <c r="BC1360" s="50"/>
      <c r="BD1360" s="50"/>
      <c r="BE1360" s="50"/>
      <c r="BF1360" s="50"/>
      <c r="BG1360" s="50"/>
      <c r="BH1360" s="50"/>
      <c r="BI1360" s="50"/>
      <c r="BJ1360" s="50"/>
      <c r="BK1360" s="50"/>
      <c r="BL1360" s="50"/>
      <c r="BM1360" s="50"/>
      <c r="BN1360" s="50"/>
      <c r="BO1360" s="50"/>
      <c r="BP1360" s="50"/>
      <c r="BQ1360" s="50"/>
      <c r="BR1360" s="50"/>
      <c r="BS1360" s="111"/>
      <c r="BT1360" s="50"/>
      <c r="BU1360" s="50"/>
      <c r="BV1360" s="50"/>
      <c r="BW1360" s="50"/>
      <c r="BX1360" s="50"/>
      <c r="BY1360" s="50"/>
      <c r="BZ1360" s="50"/>
      <c r="CA1360" s="50"/>
      <c r="CB1360" s="50"/>
      <c r="CC1360" s="50"/>
      <c r="CD1360" s="50"/>
      <c r="CE1360" s="50"/>
      <c r="CF1360" s="50"/>
      <c r="CG1360" s="50"/>
      <c r="CH1360" s="50"/>
      <c r="CI1360" s="50"/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</row>
    <row r="1361" spans="1:97" ht="15" thickBot="1">
      <c r="A1361" s="49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111"/>
      <c r="O1361" s="111"/>
      <c r="P1361" s="111"/>
      <c r="Q1361" s="111"/>
      <c r="R1361" s="111"/>
      <c r="S1361" s="111"/>
      <c r="T1361" s="111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1"/>
      <c r="AF1361" s="111"/>
      <c r="AG1361" s="111"/>
      <c r="AH1361" s="111"/>
      <c r="AI1361" s="111"/>
      <c r="AJ1361" s="111"/>
      <c r="AK1361" s="111"/>
      <c r="AL1361" s="111"/>
      <c r="AM1361" s="111"/>
      <c r="AN1361" s="111"/>
      <c r="AO1361" s="111"/>
      <c r="AP1361" s="111"/>
      <c r="AQ1361" s="111"/>
      <c r="AR1361" s="111"/>
      <c r="AS1361" s="111"/>
      <c r="AT1361" s="111"/>
      <c r="AU1361" s="111"/>
      <c r="AV1361" s="50"/>
      <c r="AW1361" s="50"/>
      <c r="AX1361" s="50"/>
      <c r="AY1361" s="50"/>
      <c r="AZ1361" s="50"/>
      <c r="BA1361" s="50"/>
      <c r="BB1361" s="50"/>
      <c r="BC1361" s="50"/>
      <c r="BD1361" s="50"/>
      <c r="BE1361" s="50"/>
      <c r="BF1361" s="50"/>
      <c r="BG1361" s="50"/>
      <c r="BH1361" s="50"/>
      <c r="BI1361" s="50"/>
      <c r="BJ1361" s="50"/>
      <c r="BK1361" s="50"/>
      <c r="BL1361" s="50"/>
      <c r="BM1361" s="50"/>
      <c r="BN1361" s="50"/>
      <c r="BO1361" s="50"/>
      <c r="BP1361" s="50"/>
      <c r="BQ1361" s="50"/>
      <c r="BR1361" s="50"/>
      <c r="BS1361" s="111"/>
      <c r="BT1361" s="50"/>
      <c r="BU1361" s="50"/>
      <c r="BV1361" s="50"/>
      <c r="BW1361" s="50"/>
      <c r="BX1361" s="50"/>
      <c r="BY1361" s="50"/>
      <c r="BZ1361" s="50"/>
      <c r="CA1361" s="50"/>
      <c r="CB1361" s="50"/>
      <c r="CC1361" s="50"/>
      <c r="CD1361" s="50"/>
      <c r="CE1361" s="50"/>
      <c r="CF1361" s="50"/>
      <c r="CG1361" s="50"/>
      <c r="CH1361" s="50"/>
      <c r="CI1361" s="50"/>
      <c r="CJ1361" s="50"/>
      <c r="CK1361" s="50"/>
      <c r="CL1361" s="50"/>
      <c r="CM1361" s="50"/>
      <c r="CN1361" s="50"/>
      <c r="CO1361" s="50"/>
      <c r="CP1361" s="50"/>
      <c r="CQ1361" s="50"/>
      <c r="CR1361" s="50"/>
      <c r="CS1361" s="50"/>
    </row>
    <row r="1362" spans="1:97" ht="15" thickBot="1">
      <c r="A1362" s="49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111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1"/>
      <c r="AF1362" s="111"/>
      <c r="AG1362" s="111"/>
      <c r="AH1362" s="111"/>
      <c r="AI1362" s="111"/>
      <c r="AJ1362" s="111"/>
      <c r="AK1362" s="111"/>
      <c r="AL1362" s="111"/>
      <c r="AM1362" s="111"/>
      <c r="AN1362" s="111"/>
      <c r="AO1362" s="111"/>
      <c r="AP1362" s="111"/>
      <c r="AQ1362" s="111"/>
      <c r="AR1362" s="111"/>
      <c r="AS1362" s="111"/>
      <c r="AT1362" s="111"/>
      <c r="AU1362" s="111"/>
      <c r="AV1362" s="50"/>
      <c r="AW1362" s="50"/>
      <c r="AX1362" s="50"/>
      <c r="AY1362" s="50"/>
      <c r="AZ1362" s="50"/>
      <c r="BA1362" s="50"/>
      <c r="BB1362" s="50"/>
      <c r="BC1362" s="50"/>
      <c r="BD1362" s="50"/>
      <c r="BE1362" s="50"/>
      <c r="BF1362" s="50"/>
      <c r="BG1362" s="50"/>
      <c r="BH1362" s="50"/>
      <c r="BI1362" s="50"/>
      <c r="BJ1362" s="50"/>
      <c r="BK1362" s="50"/>
      <c r="BL1362" s="50"/>
      <c r="BM1362" s="50"/>
      <c r="BN1362" s="50"/>
      <c r="BO1362" s="50"/>
      <c r="BP1362" s="50"/>
      <c r="BQ1362" s="50"/>
      <c r="BR1362" s="50"/>
      <c r="BS1362" s="111"/>
      <c r="BT1362" s="50"/>
      <c r="BU1362" s="50"/>
      <c r="BV1362" s="50"/>
      <c r="BW1362" s="50"/>
      <c r="BX1362" s="50"/>
      <c r="BY1362" s="50"/>
      <c r="BZ1362" s="50"/>
      <c r="CA1362" s="50"/>
      <c r="CB1362" s="50"/>
      <c r="CC1362" s="50"/>
      <c r="CD1362" s="50"/>
      <c r="CE1362" s="50"/>
      <c r="CF1362" s="50"/>
      <c r="CG1362" s="50"/>
      <c r="CH1362" s="50"/>
      <c r="CI1362" s="50"/>
      <c r="CJ1362" s="50"/>
      <c r="CK1362" s="50"/>
      <c r="CL1362" s="50"/>
      <c r="CM1362" s="50"/>
      <c r="CN1362" s="50"/>
      <c r="CO1362" s="50"/>
      <c r="CP1362" s="50"/>
      <c r="CQ1362" s="50"/>
      <c r="CR1362" s="50"/>
      <c r="CS1362" s="50"/>
    </row>
    <row r="1363" spans="1:97" ht="15" thickBot="1">
      <c r="A1363" s="49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111"/>
      <c r="O1363" s="111"/>
      <c r="P1363" s="111"/>
      <c r="Q1363" s="111"/>
      <c r="R1363" s="111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1"/>
      <c r="AF1363" s="111"/>
      <c r="AG1363" s="111"/>
      <c r="AH1363" s="111"/>
      <c r="AI1363" s="111"/>
      <c r="AJ1363" s="111"/>
      <c r="AK1363" s="111"/>
      <c r="AL1363" s="111"/>
      <c r="AM1363" s="111"/>
      <c r="AN1363" s="111"/>
      <c r="AO1363" s="111"/>
      <c r="AP1363" s="111"/>
      <c r="AQ1363" s="111"/>
      <c r="AR1363" s="111"/>
      <c r="AS1363" s="111"/>
      <c r="AT1363" s="111"/>
      <c r="AU1363" s="111"/>
      <c r="AV1363" s="50"/>
      <c r="AW1363" s="50"/>
      <c r="AX1363" s="50"/>
      <c r="AY1363" s="50"/>
      <c r="AZ1363" s="50"/>
      <c r="BA1363" s="50"/>
      <c r="BB1363" s="50"/>
      <c r="BC1363" s="50"/>
      <c r="BD1363" s="50"/>
      <c r="BE1363" s="50"/>
      <c r="BF1363" s="50"/>
      <c r="BG1363" s="50"/>
      <c r="BH1363" s="50"/>
      <c r="BI1363" s="50"/>
      <c r="BJ1363" s="50"/>
      <c r="BK1363" s="50"/>
      <c r="BL1363" s="50"/>
      <c r="BM1363" s="50"/>
      <c r="BN1363" s="50"/>
      <c r="BO1363" s="50"/>
      <c r="BP1363" s="50"/>
      <c r="BQ1363" s="50"/>
      <c r="BR1363" s="50"/>
      <c r="BS1363" s="111"/>
      <c r="BT1363" s="50"/>
      <c r="BU1363" s="50"/>
      <c r="BV1363" s="50"/>
      <c r="BW1363" s="50"/>
      <c r="BX1363" s="50"/>
      <c r="BY1363" s="50"/>
      <c r="BZ1363" s="50"/>
      <c r="CA1363" s="50"/>
      <c r="CB1363" s="50"/>
      <c r="CC1363" s="50"/>
      <c r="CD1363" s="50"/>
      <c r="CE1363" s="50"/>
      <c r="CF1363" s="50"/>
      <c r="CG1363" s="50"/>
      <c r="CH1363" s="50"/>
      <c r="CI1363" s="50"/>
      <c r="CJ1363" s="50"/>
      <c r="CK1363" s="50"/>
      <c r="CL1363" s="50"/>
      <c r="CM1363" s="50"/>
      <c r="CN1363" s="50"/>
      <c r="CO1363" s="50"/>
      <c r="CP1363" s="50"/>
      <c r="CQ1363" s="50"/>
      <c r="CR1363" s="50"/>
      <c r="CS1363" s="50"/>
    </row>
    <row r="1364" spans="1:97" ht="15" thickBot="1">
      <c r="A1364" s="49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111"/>
      <c r="O1364" s="111"/>
      <c r="P1364" s="111"/>
      <c r="Q1364" s="111"/>
      <c r="R1364" s="111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1"/>
      <c r="AF1364" s="111"/>
      <c r="AG1364" s="111"/>
      <c r="AH1364" s="111"/>
      <c r="AI1364" s="111"/>
      <c r="AJ1364" s="111"/>
      <c r="AK1364" s="111"/>
      <c r="AL1364" s="111"/>
      <c r="AM1364" s="111"/>
      <c r="AN1364" s="111"/>
      <c r="AO1364" s="111"/>
      <c r="AP1364" s="111"/>
      <c r="AQ1364" s="111"/>
      <c r="AR1364" s="111"/>
      <c r="AS1364" s="111"/>
      <c r="AT1364" s="111"/>
      <c r="AU1364" s="111"/>
      <c r="AV1364" s="50"/>
      <c r="AW1364" s="50"/>
      <c r="AX1364" s="50"/>
      <c r="AY1364" s="50"/>
      <c r="AZ1364" s="50"/>
      <c r="BA1364" s="50"/>
      <c r="BB1364" s="50"/>
      <c r="BC1364" s="50"/>
      <c r="BD1364" s="50"/>
      <c r="BE1364" s="50"/>
      <c r="BF1364" s="50"/>
      <c r="BG1364" s="50"/>
      <c r="BH1364" s="50"/>
      <c r="BI1364" s="50"/>
      <c r="BJ1364" s="50"/>
      <c r="BK1364" s="50"/>
      <c r="BL1364" s="50"/>
      <c r="BM1364" s="50"/>
      <c r="BN1364" s="50"/>
      <c r="BO1364" s="50"/>
      <c r="BP1364" s="50"/>
      <c r="BQ1364" s="50"/>
      <c r="BR1364" s="50"/>
      <c r="BS1364" s="111"/>
      <c r="BT1364" s="50"/>
      <c r="BU1364" s="50"/>
      <c r="BV1364" s="50"/>
      <c r="BW1364" s="50"/>
      <c r="BX1364" s="50"/>
      <c r="BY1364" s="50"/>
      <c r="BZ1364" s="50"/>
      <c r="CA1364" s="50"/>
      <c r="CB1364" s="50"/>
      <c r="CC1364" s="50"/>
      <c r="CD1364" s="50"/>
      <c r="CE1364" s="50"/>
      <c r="CF1364" s="50"/>
      <c r="CG1364" s="50"/>
      <c r="CH1364" s="50"/>
      <c r="CI1364" s="50"/>
      <c r="CJ1364" s="50"/>
      <c r="CK1364" s="50"/>
      <c r="CL1364" s="50"/>
      <c r="CM1364" s="50"/>
      <c r="CN1364" s="50"/>
      <c r="CO1364" s="50"/>
      <c r="CP1364" s="50"/>
      <c r="CQ1364" s="50"/>
      <c r="CR1364" s="50"/>
      <c r="CS1364" s="50"/>
    </row>
    <row r="1365" spans="1:97" ht="15" thickBot="1">
      <c r="A1365" s="49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111"/>
      <c r="O1365" s="111"/>
      <c r="P1365" s="111"/>
      <c r="Q1365" s="111"/>
      <c r="R1365" s="111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1"/>
      <c r="AF1365" s="111"/>
      <c r="AG1365" s="111"/>
      <c r="AH1365" s="111"/>
      <c r="AI1365" s="111"/>
      <c r="AJ1365" s="111"/>
      <c r="AK1365" s="111"/>
      <c r="AL1365" s="111"/>
      <c r="AM1365" s="111"/>
      <c r="AN1365" s="111"/>
      <c r="AO1365" s="111"/>
      <c r="AP1365" s="111"/>
      <c r="AQ1365" s="111"/>
      <c r="AR1365" s="111"/>
      <c r="AS1365" s="111"/>
      <c r="AT1365" s="111"/>
      <c r="AU1365" s="111"/>
      <c r="AV1365" s="50"/>
      <c r="AW1365" s="50"/>
      <c r="AX1365" s="50"/>
      <c r="AY1365" s="50"/>
      <c r="AZ1365" s="50"/>
      <c r="BA1365" s="50"/>
      <c r="BB1365" s="50"/>
      <c r="BC1365" s="50"/>
      <c r="BD1365" s="50"/>
      <c r="BE1365" s="50"/>
      <c r="BF1365" s="50"/>
      <c r="BG1365" s="50"/>
      <c r="BH1365" s="50"/>
      <c r="BI1365" s="50"/>
      <c r="BJ1365" s="50"/>
      <c r="BK1365" s="50"/>
      <c r="BL1365" s="50"/>
      <c r="BM1365" s="50"/>
      <c r="BN1365" s="50"/>
      <c r="BO1365" s="50"/>
      <c r="BP1365" s="50"/>
      <c r="BQ1365" s="50"/>
      <c r="BR1365" s="50"/>
      <c r="BS1365" s="111"/>
      <c r="BT1365" s="50"/>
      <c r="BU1365" s="50"/>
      <c r="BV1365" s="50"/>
      <c r="BW1365" s="50"/>
      <c r="BX1365" s="50"/>
      <c r="BY1365" s="50"/>
      <c r="BZ1365" s="50"/>
      <c r="CA1365" s="50"/>
      <c r="CB1365" s="50"/>
      <c r="CC1365" s="50"/>
      <c r="CD1365" s="50"/>
      <c r="CE1365" s="50"/>
      <c r="CF1365" s="50"/>
      <c r="CG1365" s="50"/>
      <c r="CH1365" s="50"/>
      <c r="CI1365" s="50"/>
      <c r="CJ1365" s="50"/>
      <c r="CK1365" s="50"/>
      <c r="CL1365" s="50"/>
      <c r="CM1365" s="50"/>
      <c r="CN1365" s="50"/>
      <c r="CO1365" s="50"/>
      <c r="CP1365" s="50"/>
      <c r="CQ1365" s="50"/>
      <c r="CR1365" s="50"/>
      <c r="CS1365" s="50"/>
    </row>
    <row r="1366" spans="1:97" ht="15" thickBot="1">
      <c r="A1366" s="49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111"/>
      <c r="O1366" s="111"/>
      <c r="P1366" s="111"/>
      <c r="Q1366" s="111"/>
      <c r="R1366" s="111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1"/>
      <c r="AF1366" s="111"/>
      <c r="AG1366" s="111"/>
      <c r="AH1366" s="111"/>
      <c r="AI1366" s="111"/>
      <c r="AJ1366" s="111"/>
      <c r="AK1366" s="111"/>
      <c r="AL1366" s="111"/>
      <c r="AM1366" s="111"/>
      <c r="AN1366" s="111"/>
      <c r="AO1366" s="111"/>
      <c r="AP1366" s="111"/>
      <c r="AQ1366" s="111"/>
      <c r="AR1366" s="111"/>
      <c r="AS1366" s="111"/>
      <c r="AT1366" s="111"/>
      <c r="AU1366" s="111"/>
      <c r="AV1366" s="50"/>
      <c r="AW1366" s="50"/>
      <c r="AX1366" s="50"/>
      <c r="AY1366" s="50"/>
      <c r="AZ1366" s="50"/>
      <c r="BA1366" s="50"/>
      <c r="BB1366" s="50"/>
      <c r="BC1366" s="50"/>
      <c r="BD1366" s="50"/>
      <c r="BE1366" s="50"/>
      <c r="BF1366" s="50"/>
      <c r="BG1366" s="50"/>
      <c r="BH1366" s="50"/>
      <c r="BI1366" s="50"/>
      <c r="BJ1366" s="50"/>
      <c r="BK1366" s="50"/>
      <c r="BL1366" s="50"/>
      <c r="BM1366" s="50"/>
      <c r="BN1366" s="50"/>
      <c r="BO1366" s="50"/>
      <c r="BP1366" s="50"/>
      <c r="BQ1366" s="50"/>
      <c r="BR1366" s="50"/>
      <c r="BS1366" s="111"/>
      <c r="BT1366" s="50"/>
      <c r="BU1366" s="50"/>
      <c r="BV1366" s="50"/>
      <c r="BW1366" s="50"/>
      <c r="BX1366" s="50"/>
      <c r="BY1366" s="50"/>
      <c r="BZ1366" s="50"/>
      <c r="CA1366" s="50"/>
      <c r="CB1366" s="50"/>
      <c r="CC1366" s="50"/>
      <c r="CD1366" s="50"/>
      <c r="CE1366" s="50"/>
      <c r="CF1366" s="50"/>
      <c r="CG1366" s="50"/>
      <c r="CH1366" s="50"/>
      <c r="CI1366" s="50"/>
      <c r="CJ1366" s="50"/>
      <c r="CK1366" s="50"/>
      <c r="CL1366" s="50"/>
      <c r="CM1366" s="50"/>
      <c r="CN1366" s="50"/>
      <c r="CO1366" s="50"/>
      <c r="CP1366" s="50"/>
      <c r="CQ1366" s="50"/>
      <c r="CR1366" s="50"/>
      <c r="CS1366" s="50"/>
    </row>
    <row r="1367" spans="1:97" ht="15" thickBot="1">
      <c r="A1367" s="49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111"/>
      <c r="O1367" s="111"/>
      <c r="P1367" s="111"/>
      <c r="Q1367" s="111"/>
      <c r="R1367" s="111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1"/>
      <c r="AF1367" s="111"/>
      <c r="AG1367" s="111"/>
      <c r="AH1367" s="111"/>
      <c r="AI1367" s="111"/>
      <c r="AJ1367" s="111"/>
      <c r="AK1367" s="111"/>
      <c r="AL1367" s="111"/>
      <c r="AM1367" s="111"/>
      <c r="AN1367" s="111"/>
      <c r="AO1367" s="111"/>
      <c r="AP1367" s="111"/>
      <c r="AQ1367" s="111"/>
      <c r="AR1367" s="111"/>
      <c r="AS1367" s="111"/>
      <c r="AT1367" s="111"/>
      <c r="AU1367" s="111"/>
      <c r="AV1367" s="50"/>
      <c r="AW1367" s="50"/>
      <c r="AX1367" s="50"/>
      <c r="AY1367" s="50"/>
      <c r="AZ1367" s="50"/>
      <c r="BA1367" s="50"/>
      <c r="BB1367" s="50"/>
      <c r="BC1367" s="50"/>
      <c r="BD1367" s="50"/>
      <c r="BE1367" s="50"/>
      <c r="BF1367" s="50"/>
      <c r="BG1367" s="50"/>
      <c r="BH1367" s="50"/>
      <c r="BI1367" s="50"/>
      <c r="BJ1367" s="50"/>
      <c r="BK1367" s="50"/>
      <c r="BL1367" s="50"/>
      <c r="BM1367" s="50"/>
      <c r="BN1367" s="50"/>
      <c r="BO1367" s="50"/>
      <c r="BP1367" s="50"/>
      <c r="BQ1367" s="50"/>
      <c r="BR1367" s="50"/>
      <c r="BS1367" s="111"/>
      <c r="BT1367" s="50"/>
      <c r="BU1367" s="50"/>
      <c r="BV1367" s="50"/>
      <c r="BW1367" s="50"/>
      <c r="BX1367" s="50"/>
      <c r="BY1367" s="50"/>
      <c r="BZ1367" s="50"/>
      <c r="CA1367" s="50"/>
      <c r="CB1367" s="50"/>
      <c r="CC1367" s="50"/>
      <c r="CD1367" s="50"/>
      <c r="CE1367" s="50"/>
      <c r="CF1367" s="50"/>
      <c r="CG1367" s="50"/>
      <c r="CH1367" s="50"/>
      <c r="CI1367" s="50"/>
      <c r="CJ1367" s="50"/>
      <c r="CK1367" s="50"/>
      <c r="CL1367" s="50"/>
      <c r="CM1367" s="50"/>
      <c r="CN1367" s="50"/>
      <c r="CO1367" s="50"/>
      <c r="CP1367" s="50"/>
      <c r="CQ1367" s="50"/>
      <c r="CR1367" s="50"/>
      <c r="CS1367" s="50"/>
    </row>
    <row r="1368" spans="1:97" ht="15" thickBot="1">
      <c r="A1368" s="49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111"/>
      <c r="O1368" s="111"/>
      <c r="P1368" s="111"/>
      <c r="Q1368" s="111"/>
      <c r="R1368" s="111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1"/>
      <c r="AF1368" s="111"/>
      <c r="AG1368" s="111"/>
      <c r="AH1368" s="111"/>
      <c r="AI1368" s="111"/>
      <c r="AJ1368" s="111"/>
      <c r="AK1368" s="111"/>
      <c r="AL1368" s="111"/>
      <c r="AM1368" s="111"/>
      <c r="AN1368" s="111"/>
      <c r="AO1368" s="111"/>
      <c r="AP1368" s="111"/>
      <c r="AQ1368" s="111"/>
      <c r="AR1368" s="111"/>
      <c r="AS1368" s="111"/>
      <c r="AT1368" s="111"/>
      <c r="AU1368" s="111"/>
      <c r="AV1368" s="50"/>
      <c r="AW1368" s="50"/>
      <c r="AX1368" s="50"/>
      <c r="AY1368" s="50"/>
      <c r="AZ1368" s="50"/>
      <c r="BA1368" s="50"/>
      <c r="BB1368" s="50"/>
      <c r="BC1368" s="50"/>
      <c r="BD1368" s="50"/>
      <c r="BE1368" s="50"/>
      <c r="BF1368" s="50"/>
      <c r="BG1368" s="50"/>
      <c r="BH1368" s="50"/>
      <c r="BI1368" s="50"/>
      <c r="BJ1368" s="50"/>
      <c r="BK1368" s="50"/>
      <c r="BL1368" s="50"/>
      <c r="BM1368" s="50"/>
      <c r="BN1368" s="50"/>
      <c r="BO1368" s="50"/>
      <c r="BP1368" s="50"/>
      <c r="BQ1368" s="50"/>
      <c r="BR1368" s="50"/>
      <c r="BS1368" s="111"/>
      <c r="BT1368" s="50"/>
      <c r="BU1368" s="50"/>
      <c r="BV1368" s="50"/>
      <c r="BW1368" s="50"/>
      <c r="BX1368" s="50"/>
      <c r="BY1368" s="50"/>
      <c r="BZ1368" s="50"/>
      <c r="CA1368" s="50"/>
      <c r="CB1368" s="50"/>
      <c r="CC1368" s="50"/>
      <c r="CD1368" s="50"/>
      <c r="CE1368" s="50"/>
      <c r="CF1368" s="50"/>
      <c r="CG1368" s="50"/>
      <c r="CH1368" s="50"/>
      <c r="CI1368" s="50"/>
      <c r="CJ1368" s="50"/>
      <c r="CK1368" s="50"/>
      <c r="CL1368" s="50"/>
      <c r="CM1368" s="50"/>
      <c r="CN1368" s="50"/>
      <c r="CO1368" s="50"/>
      <c r="CP1368" s="50"/>
      <c r="CQ1368" s="50"/>
      <c r="CR1368" s="50"/>
      <c r="CS1368" s="50"/>
    </row>
    <row r="1369" spans="1:97" ht="15" thickBot="1">
      <c r="A1369" s="49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111"/>
      <c r="O1369" s="111"/>
      <c r="P1369" s="111"/>
      <c r="Q1369" s="111"/>
      <c r="R1369" s="111"/>
      <c r="S1369" s="111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1"/>
      <c r="AF1369" s="111"/>
      <c r="AG1369" s="111"/>
      <c r="AH1369" s="111"/>
      <c r="AI1369" s="111"/>
      <c r="AJ1369" s="111"/>
      <c r="AK1369" s="111"/>
      <c r="AL1369" s="111"/>
      <c r="AM1369" s="111"/>
      <c r="AN1369" s="111"/>
      <c r="AO1369" s="111"/>
      <c r="AP1369" s="111"/>
      <c r="AQ1369" s="111"/>
      <c r="AR1369" s="111"/>
      <c r="AS1369" s="111"/>
      <c r="AT1369" s="111"/>
      <c r="AU1369" s="111"/>
      <c r="AV1369" s="50"/>
      <c r="AW1369" s="50"/>
      <c r="AX1369" s="50"/>
      <c r="AY1369" s="50"/>
      <c r="AZ1369" s="50"/>
      <c r="BA1369" s="50"/>
      <c r="BB1369" s="50"/>
      <c r="BC1369" s="50"/>
      <c r="BD1369" s="50"/>
      <c r="BE1369" s="50"/>
      <c r="BF1369" s="50"/>
      <c r="BG1369" s="50"/>
      <c r="BH1369" s="50"/>
      <c r="BI1369" s="50"/>
      <c r="BJ1369" s="50"/>
      <c r="BK1369" s="50"/>
      <c r="BL1369" s="50"/>
      <c r="BM1369" s="50"/>
      <c r="BN1369" s="50"/>
      <c r="BO1369" s="50"/>
      <c r="BP1369" s="50"/>
      <c r="BQ1369" s="50"/>
      <c r="BR1369" s="50"/>
      <c r="BS1369" s="111"/>
      <c r="BT1369" s="50"/>
      <c r="BU1369" s="50"/>
      <c r="BV1369" s="50"/>
      <c r="BW1369" s="50"/>
      <c r="BX1369" s="50"/>
      <c r="BY1369" s="50"/>
      <c r="BZ1369" s="50"/>
      <c r="CA1369" s="50"/>
      <c r="CB1369" s="50"/>
      <c r="CC1369" s="50"/>
      <c r="CD1369" s="50"/>
      <c r="CE1369" s="50"/>
      <c r="CF1369" s="50"/>
      <c r="CG1369" s="50"/>
      <c r="CH1369" s="50"/>
      <c r="CI1369" s="50"/>
      <c r="CJ1369" s="50"/>
      <c r="CK1369" s="50"/>
      <c r="CL1369" s="50"/>
      <c r="CM1369" s="50"/>
      <c r="CN1369" s="50"/>
      <c r="CO1369" s="50"/>
      <c r="CP1369" s="50"/>
      <c r="CQ1369" s="50"/>
      <c r="CR1369" s="50"/>
      <c r="CS1369" s="50"/>
    </row>
    <row r="1370" spans="1:97" ht="15" thickBot="1">
      <c r="A1370" s="49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111"/>
      <c r="O1370" s="111"/>
      <c r="P1370" s="111"/>
      <c r="Q1370" s="111"/>
      <c r="R1370" s="111"/>
      <c r="S1370" s="111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1"/>
      <c r="AF1370" s="111"/>
      <c r="AG1370" s="111"/>
      <c r="AH1370" s="111"/>
      <c r="AI1370" s="111"/>
      <c r="AJ1370" s="111"/>
      <c r="AK1370" s="111"/>
      <c r="AL1370" s="111"/>
      <c r="AM1370" s="111"/>
      <c r="AN1370" s="111"/>
      <c r="AO1370" s="111"/>
      <c r="AP1370" s="111"/>
      <c r="AQ1370" s="111"/>
      <c r="AR1370" s="111"/>
      <c r="AS1370" s="111"/>
      <c r="AT1370" s="111"/>
      <c r="AU1370" s="111"/>
      <c r="AV1370" s="50"/>
      <c r="AW1370" s="50"/>
      <c r="AX1370" s="50"/>
      <c r="AY1370" s="50"/>
      <c r="AZ1370" s="50"/>
      <c r="BA1370" s="50"/>
      <c r="BB1370" s="50"/>
      <c r="BC1370" s="50"/>
      <c r="BD1370" s="50"/>
      <c r="BE1370" s="50"/>
      <c r="BF1370" s="50"/>
      <c r="BG1370" s="50"/>
      <c r="BH1370" s="50"/>
      <c r="BI1370" s="50"/>
      <c r="BJ1370" s="50"/>
      <c r="BK1370" s="50"/>
      <c r="BL1370" s="50"/>
      <c r="BM1370" s="50"/>
      <c r="BN1370" s="50"/>
      <c r="BO1370" s="50"/>
      <c r="BP1370" s="50"/>
      <c r="BQ1370" s="50"/>
      <c r="BR1370" s="50"/>
      <c r="BS1370" s="111"/>
      <c r="BT1370" s="50"/>
      <c r="BU1370" s="50"/>
      <c r="BV1370" s="50"/>
      <c r="BW1370" s="50"/>
      <c r="BX1370" s="50"/>
      <c r="BY1370" s="50"/>
      <c r="BZ1370" s="50"/>
      <c r="CA1370" s="50"/>
      <c r="CB1370" s="50"/>
      <c r="CC1370" s="50"/>
      <c r="CD1370" s="50"/>
      <c r="CE1370" s="50"/>
      <c r="CF1370" s="50"/>
      <c r="CG1370" s="50"/>
      <c r="CH1370" s="50"/>
      <c r="CI1370" s="50"/>
      <c r="CJ1370" s="50"/>
      <c r="CK1370" s="50"/>
      <c r="CL1370" s="50"/>
      <c r="CM1370" s="50"/>
      <c r="CN1370" s="50"/>
      <c r="CO1370" s="50"/>
      <c r="CP1370" s="50"/>
      <c r="CQ1370" s="50"/>
      <c r="CR1370" s="50"/>
      <c r="CS1370" s="50"/>
    </row>
    <row r="1371" spans="1:97" ht="15" thickBot="1">
      <c r="A1371" s="49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111"/>
      <c r="O1371" s="111"/>
      <c r="P1371" s="111"/>
      <c r="Q1371" s="111"/>
      <c r="R1371" s="111"/>
      <c r="S1371" s="111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1"/>
      <c r="AF1371" s="111"/>
      <c r="AG1371" s="111"/>
      <c r="AH1371" s="111"/>
      <c r="AI1371" s="111"/>
      <c r="AJ1371" s="111"/>
      <c r="AK1371" s="111"/>
      <c r="AL1371" s="111"/>
      <c r="AM1371" s="111"/>
      <c r="AN1371" s="111"/>
      <c r="AO1371" s="111"/>
      <c r="AP1371" s="111"/>
      <c r="AQ1371" s="111"/>
      <c r="AR1371" s="111"/>
      <c r="AS1371" s="111"/>
      <c r="AT1371" s="111"/>
      <c r="AU1371" s="111"/>
      <c r="AV1371" s="50"/>
      <c r="AW1371" s="50"/>
      <c r="AX1371" s="50"/>
      <c r="AY1371" s="50"/>
      <c r="AZ1371" s="50"/>
      <c r="BA1371" s="50"/>
      <c r="BB1371" s="50"/>
      <c r="BC1371" s="50"/>
      <c r="BD1371" s="50"/>
      <c r="BE1371" s="50"/>
      <c r="BF1371" s="50"/>
      <c r="BG1371" s="50"/>
      <c r="BH1371" s="50"/>
      <c r="BI1371" s="50"/>
      <c r="BJ1371" s="50"/>
      <c r="BK1371" s="50"/>
      <c r="BL1371" s="50"/>
      <c r="BM1371" s="50"/>
      <c r="BN1371" s="50"/>
      <c r="BO1371" s="50"/>
      <c r="BP1371" s="50"/>
      <c r="BQ1371" s="50"/>
      <c r="BR1371" s="50"/>
      <c r="BS1371" s="111"/>
      <c r="BT1371" s="50"/>
      <c r="BU1371" s="50"/>
      <c r="BV1371" s="50"/>
      <c r="BW1371" s="50"/>
      <c r="BX1371" s="50"/>
      <c r="BY1371" s="50"/>
      <c r="BZ1371" s="50"/>
      <c r="CA1371" s="50"/>
      <c r="CB1371" s="50"/>
      <c r="CC1371" s="50"/>
      <c r="CD1371" s="50"/>
      <c r="CE1371" s="50"/>
      <c r="CF1371" s="50"/>
      <c r="CG1371" s="50"/>
      <c r="CH1371" s="50"/>
      <c r="CI1371" s="50"/>
      <c r="CJ1371" s="50"/>
      <c r="CK1371" s="50"/>
      <c r="CL1371" s="50"/>
      <c r="CM1371" s="50"/>
      <c r="CN1371" s="50"/>
      <c r="CO1371" s="50"/>
      <c r="CP1371" s="50"/>
      <c r="CQ1371" s="50"/>
      <c r="CR1371" s="50"/>
      <c r="CS1371" s="50"/>
    </row>
    <row r="1372" spans="1:97" ht="15" thickBot="1">
      <c r="A1372" s="49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111"/>
      <c r="O1372" s="111"/>
      <c r="P1372" s="111"/>
      <c r="Q1372" s="111"/>
      <c r="R1372" s="111"/>
      <c r="S1372" s="111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1"/>
      <c r="AF1372" s="111"/>
      <c r="AG1372" s="111"/>
      <c r="AH1372" s="111"/>
      <c r="AI1372" s="111"/>
      <c r="AJ1372" s="111"/>
      <c r="AK1372" s="111"/>
      <c r="AL1372" s="111"/>
      <c r="AM1372" s="111"/>
      <c r="AN1372" s="111"/>
      <c r="AO1372" s="111"/>
      <c r="AP1372" s="111"/>
      <c r="AQ1372" s="111"/>
      <c r="AR1372" s="111"/>
      <c r="AS1372" s="111"/>
      <c r="AT1372" s="111"/>
      <c r="AU1372" s="111"/>
      <c r="AV1372" s="50"/>
      <c r="AW1372" s="50"/>
      <c r="AX1372" s="50"/>
      <c r="AY1372" s="50"/>
      <c r="AZ1372" s="50"/>
      <c r="BA1372" s="50"/>
      <c r="BB1372" s="50"/>
      <c r="BC1372" s="50"/>
      <c r="BD1372" s="50"/>
      <c r="BE1372" s="50"/>
      <c r="BF1372" s="50"/>
      <c r="BG1372" s="50"/>
      <c r="BH1372" s="50"/>
      <c r="BI1372" s="50"/>
      <c r="BJ1372" s="50"/>
      <c r="BK1372" s="50"/>
      <c r="BL1372" s="50"/>
      <c r="BM1372" s="50"/>
      <c r="BN1372" s="50"/>
      <c r="BO1372" s="50"/>
      <c r="BP1372" s="50"/>
      <c r="BQ1372" s="50"/>
      <c r="BR1372" s="50"/>
      <c r="BS1372" s="111"/>
      <c r="BT1372" s="50"/>
      <c r="BU1372" s="50"/>
      <c r="BV1372" s="50"/>
      <c r="BW1372" s="50"/>
      <c r="BX1372" s="50"/>
      <c r="BY1372" s="50"/>
      <c r="BZ1372" s="50"/>
      <c r="CA1372" s="50"/>
      <c r="CB1372" s="50"/>
      <c r="CC1372" s="50"/>
      <c r="CD1372" s="50"/>
      <c r="CE1372" s="50"/>
      <c r="CF1372" s="50"/>
      <c r="CG1372" s="50"/>
      <c r="CH1372" s="50"/>
      <c r="CI1372" s="50"/>
      <c r="CJ1372" s="50"/>
      <c r="CK1372" s="50"/>
      <c r="CL1372" s="50"/>
      <c r="CM1372" s="50"/>
      <c r="CN1372" s="50"/>
      <c r="CO1372" s="50"/>
      <c r="CP1372" s="50"/>
      <c r="CQ1372" s="50"/>
      <c r="CR1372" s="50"/>
      <c r="CS1372" s="50"/>
    </row>
    <row r="1373" spans="1:97" ht="15" thickBot="1">
      <c r="A1373" s="49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111"/>
      <c r="O1373" s="111"/>
      <c r="P1373" s="111"/>
      <c r="Q1373" s="111"/>
      <c r="R1373" s="111"/>
      <c r="S1373" s="111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1"/>
      <c r="AF1373" s="111"/>
      <c r="AG1373" s="111"/>
      <c r="AH1373" s="111"/>
      <c r="AI1373" s="111"/>
      <c r="AJ1373" s="111"/>
      <c r="AK1373" s="111"/>
      <c r="AL1373" s="111"/>
      <c r="AM1373" s="111"/>
      <c r="AN1373" s="111"/>
      <c r="AO1373" s="111"/>
      <c r="AP1373" s="111"/>
      <c r="AQ1373" s="111"/>
      <c r="AR1373" s="111"/>
      <c r="AS1373" s="111"/>
      <c r="AT1373" s="111"/>
      <c r="AU1373" s="111"/>
      <c r="AV1373" s="50"/>
      <c r="AW1373" s="50"/>
      <c r="AX1373" s="50"/>
      <c r="AY1373" s="50"/>
      <c r="AZ1373" s="50"/>
      <c r="BA1373" s="50"/>
      <c r="BB1373" s="50"/>
      <c r="BC1373" s="50"/>
      <c r="BD1373" s="50"/>
      <c r="BE1373" s="50"/>
      <c r="BF1373" s="50"/>
      <c r="BG1373" s="50"/>
      <c r="BH1373" s="50"/>
      <c r="BI1373" s="50"/>
      <c r="BJ1373" s="50"/>
      <c r="BK1373" s="50"/>
      <c r="BL1373" s="50"/>
      <c r="BM1373" s="50"/>
      <c r="BN1373" s="50"/>
      <c r="BO1373" s="50"/>
      <c r="BP1373" s="50"/>
      <c r="BQ1373" s="50"/>
      <c r="BR1373" s="50"/>
      <c r="BS1373" s="111"/>
      <c r="BT1373" s="50"/>
      <c r="BU1373" s="50"/>
      <c r="BV1373" s="50"/>
      <c r="BW1373" s="50"/>
      <c r="BX1373" s="50"/>
      <c r="BY1373" s="50"/>
      <c r="BZ1373" s="50"/>
      <c r="CA1373" s="50"/>
      <c r="CB1373" s="50"/>
      <c r="CC1373" s="50"/>
      <c r="CD1373" s="50"/>
      <c r="CE1373" s="50"/>
      <c r="CF1373" s="50"/>
      <c r="CG1373" s="50"/>
      <c r="CH1373" s="50"/>
      <c r="CI1373" s="50"/>
      <c r="CJ1373" s="50"/>
      <c r="CK1373" s="50"/>
      <c r="CL1373" s="50"/>
      <c r="CM1373" s="50"/>
      <c r="CN1373" s="50"/>
      <c r="CO1373" s="50"/>
      <c r="CP1373" s="50"/>
      <c r="CQ1373" s="50"/>
      <c r="CR1373" s="50"/>
      <c r="CS1373" s="50"/>
    </row>
    <row r="1374" spans="1:97" ht="15" thickBot="1">
      <c r="A1374" s="49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111"/>
      <c r="O1374" s="111"/>
      <c r="P1374" s="111"/>
      <c r="Q1374" s="111"/>
      <c r="R1374" s="111"/>
      <c r="S1374" s="111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1"/>
      <c r="AF1374" s="111"/>
      <c r="AG1374" s="111"/>
      <c r="AH1374" s="111"/>
      <c r="AI1374" s="111"/>
      <c r="AJ1374" s="111"/>
      <c r="AK1374" s="111"/>
      <c r="AL1374" s="111"/>
      <c r="AM1374" s="111"/>
      <c r="AN1374" s="111"/>
      <c r="AO1374" s="111"/>
      <c r="AP1374" s="111"/>
      <c r="AQ1374" s="111"/>
      <c r="AR1374" s="111"/>
      <c r="AS1374" s="111"/>
      <c r="AT1374" s="111"/>
      <c r="AU1374" s="111"/>
      <c r="AV1374" s="50"/>
      <c r="AW1374" s="50"/>
      <c r="AX1374" s="50"/>
      <c r="AY1374" s="50"/>
      <c r="AZ1374" s="50"/>
      <c r="BA1374" s="50"/>
      <c r="BB1374" s="50"/>
      <c r="BC1374" s="50"/>
      <c r="BD1374" s="50"/>
      <c r="BE1374" s="50"/>
      <c r="BF1374" s="50"/>
      <c r="BG1374" s="50"/>
      <c r="BH1374" s="50"/>
      <c r="BI1374" s="50"/>
      <c r="BJ1374" s="50"/>
      <c r="BK1374" s="50"/>
      <c r="BL1374" s="50"/>
      <c r="BM1374" s="50"/>
      <c r="BN1374" s="50"/>
      <c r="BO1374" s="50"/>
      <c r="BP1374" s="50"/>
      <c r="BQ1374" s="50"/>
      <c r="BR1374" s="50"/>
      <c r="BS1374" s="111"/>
      <c r="BT1374" s="50"/>
      <c r="BU1374" s="50"/>
      <c r="BV1374" s="50"/>
      <c r="BW1374" s="50"/>
      <c r="BX1374" s="50"/>
      <c r="BY1374" s="50"/>
      <c r="BZ1374" s="50"/>
      <c r="CA1374" s="50"/>
      <c r="CB1374" s="50"/>
      <c r="CC1374" s="50"/>
      <c r="CD1374" s="50"/>
      <c r="CE1374" s="50"/>
      <c r="CF1374" s="50"/>
      <c r="CG1374" s="50"/>
      <c r="CH1374" s="50"/>
      <c r="CI1374" s="50"/>
      <c r="CJ1374" s="50"/>
      <c r="CK1374" s="50"/>
      <c r="CL1374" s="50"/>
      <c r="CM1374" s="50"/>
      <c r="CN1374" s="50"/>
      <c r="CO1374" s="50"/>
      <c r="CP1374" s="50"/>
      <c r="CQ1374" s="50"/>
      <c r="CR1374" s="50"/>
      <c r="CS1374" s="50"/>
    </row>
    <row r="1375" spans="1:97" ht="15" thickBot="1">
      <c r="A1375" s="49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111"/>
      <c r="O1375" s="111"/>
      <c r="P1375" s="111"/>
      <c r="Q1375" s="111"/>
      <c r="R1375" s="111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1"/>
      <c r="AF1375" s="111"/>
      <c r="AG1375" s="111"/>
      <c r="AH1375" s="111"/>
      <c r="AI1375" s="111"/>
      <c r="AJ1375" s="111"/>
      <c r="AK1375" s="111"/>
      <c r="AL1375" s="111"/>
      <c r="AM1375" s="111"/>
      <c r="AN1375" s="111"/>
      <c r="AO1375" s="111"/>
      <c r="AP1375" s="111"/>
      <c r="AQ1375" s="111"/>
      <c r="AR1375" s="111"/>
      <c r="AS1375" s="111"/>
      <c r="AT1375" s="111"/>
      <c r="AU1375" s="111"/>
      <c r="AV1375" s="50"/>
      <c r="AW1375" s="50"/>
      <c r="AX1375" s="50"/>
      <c r="AY1375" s="50"/>
      <c r="AZ1375" s="50"/>
      <c r="BA1375" s="50"/>
      <c r="BB1375" s="50"/>
      <c r="BC1375" s="50"/>
      <c r="BD1375" s="50"/>
      <c r="BE1375" s="50"/>
      <c r="BF1375" s="50"/>
      <c r="BG1375" s="50"/>
      <c r="BH1375" s="50"/>
      <c r="BI1375" s="50"/>
      <c r="BJ1375" s="50"/>
      <c r="BK1375" s="50"/>
      <c r="BL1375" s="50"/>
      <c r="BM1375" s="50"/>
      <c r="BN1375" s="50"/>
      <c r="BO1375" s="50"/>
      <c r="BP1375" s="50"/>
      <c r="BQ1375" s="50"/>
      <c r="BR1375" s="50"/>
      <c r="BS1375" s="111"/>
      <c r="BT1375" s="50"/>
      <c r="BU1375" s="50"/>
      <c r="BV1375" s="50"/>
      <c r="BW1375" s="50"/>
      <c r="BX1375" s="50"/>
      <c r="BY1375" s="50"/>
      <c r="BZ1375" s="50"/>
      <c r="CA1375" s="50"/>
      <c r="CB1375" s="50"/>
      <c r="CC1375" s="50"/>
      <c r="CD1375" s="50"/>
      <c r="CE1375" s="50"/>
      <c r="CF1375" s="50"/>
      <c r="CG1375" s="50"/>
      <c r="CH1375" s="50"/>
      <c r="CI1375" s="50"/>
      <c r="CJ1375" s="50"/>
      <c r="CK1375" s="50"/>
      <c r="CL1375" s="50"/>
      <c r="CM1375" s="50"/>
      <c r="CN1375" s="50"/>
      <c r="CO1375" s="50"/>
      <c r="CP1375" s="50"/>
      <c r="CQ1375" s="50"/>
      <c r="CR1375" s="50"/>
      <c r="CS1375" s="50"/>
    </row>
    <row r="1376" spans="1:97" ht="15" thickBot="1">
      <c r="A1376" s="49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111"/>
      <c r="O1376" s="111"/>
      <c r="P1376" s="111"/>
      <c r="Q1376" s="111"/>
      <c r="R1376" s="111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1"/>
      <c r="AF1376" s="111"/>
      <c r="AG1376" s="111"/>
      <c r="AH1376" s="111"/>
      <c r="AI1376" s="111"/>
      <c r="AJ1376" s="111"/>
      <c r="AK1376" s="111"/>
      <c r="AL1376" s="111"/>
      <c r="AM1376" s="111"/>
      <c r="AN1376" s="111"/>
      <c r="AO1376" s="111"/>
      <c r="AP1376" s="111"/>
      <c r="AQ1376" s="111"/>
      <c r="AR1376" s="111"/>
      <c r="AS1376" s="111"/>
      <c r="AT1376" s="111"/>
      <c r="AU1376" s="111"/>
      <c r="AV1376" s="50"/>
      <c r="AW1376" s="50"/>
      <c r="AX1376" s="50"/>
      <c r="AY1376" s="50"/>
      <c r="AZ1376" s="50"/>
      <c r="BA1376" s="50"/>
      <c r="BB1376" s="50"/>
      <c r="BC1376" s="50"/>
      <c r="BD1376" s="50"/>
      <c r="BE1376" s="50"/>
      <c r="BF1376" s="50"/>
      <c r="BG1376" s="50"/>
      <c r="BH1376" s="50"/>
      <c r="BI1376" s="50"/>
      <c r="BJ1376" s="50"/>
      <c r="BK1376" s="50"/>
      <c r="BL1376" s="50"/>
      <c r="BM1376" s="50"/>
      <c r="BN1376" s="50"/>
      <c r="BO1376" s="50"/>
      <c r="BP1376" s="50"/>
      <c r="BQ1376" s="50"/>
      <c r="BR1376" s="50"/>
      <c r="BS1376" s="111"/>
      <c r="BT1376" s="50"/>
      <c r="BU1376" s="50"/>
      <c r="BV1376" s="50"/>
      <c r="BW1376" s="50"/>
      <c r="BX1376" s="50"/>
      <c r="BY1376" s="50"/>
      <c r="BZ1376" s="50"/>
      <c r="CA1376" s="50"/>
      <c r="CB1376" s="50"/>
      <c r="CC1376" s="50"/>
      <c r="CD1376" s="50"/>
      <c r="CE1376" s="50"/>
      <c r="CF1376" s="50"/>
      <c r="CG1376" s="50"/>
      <c r="CH1376" s="50"/>
      <c r="CI1376" s="50"/>
      <c r="CJ1376" s="50"/>
      <c r="CK1376" s="50"/>
      <c r="CL1376" s="50"/>
      <c r="CM1376" s="50"/>
      <c r="CN1376" s="50"/>
      <c r="CO1376" s="50"/>
      <c r="CP1376" s="50"/>
      <c r="CQ1376" s="50"/>
      <c r="CR1376" s="50"/>
      <c r="CS1376" s="50"/>
    </row>
    <row r="1377" spans="1:97" ht="15" thickBot="1">
      <c r="A1377" s="49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111"/>
      <c r="O1377" s="111"/>
      <c r="P1377" s="111"/>
      <c r="Q1377" s="111"/>
      <c r="R1377" s="111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1"/>
      <c r="AF1377" s="111"/>
      <c r="AG1377" s="111"/>
      <c r="AH1377" s="111"/>
      <c r="AI1377" s="111"/>
      <c r="AJ1377" s="111"/>
      <c r="AK1377" s="111"/>
      <c r="AL1377" s="111"/>
      <c r="AM1377" s="111"/>
      <c r="AN1377" s="111"/>
      <c r="AO1377" s="111"/>
      <c r="AP1377" s="111"/>
      <c r="AQ1377" s="111"/>
      <c r="AR1377" s="111"/>
      <c r="AS1377" s="111"/>
      <c r="AT1377" s="111"/>
      <c r="AU1377" s="111"/>
      <c r="AV1377" s="50"/>
      <c r="AW1377" s="50"/>
      <c r="AX1377" s="50"/>
      <c r="AY1377" s="50"/>
      <c r="AZ1377" s="50"/>
      <c r="BA1377" s="50"/>
      <c r="BB1377" s="50"/>
      <c r="BC1377" s="50"/>
      <c r="BD1377" s="50"/>
      <c r="BE1377" s="50"/>
      <c r="BF1377" s="50"/>
      <c r="BG1377" s="50"/>
      <c r="BH1377" s="50"/>
      <c r="BI1377" s="50"/>
      <c r="BJ1377" s="50"/>
      <c r="BK1377" s="50"/>
      <c r="BL1377" s="50"/>
      <c r="BM1377" s="50"/>
      <c r="BN1377" s="50"/>
      <c r="BO1377" s="50"/>
      <c r="BP1377" s="50"/>
      <c r="BQ1377" s="50"/>
      <c r="BR1377" s="50"/>
      <c r="BS1377" s="111"/>
      <c r="BT1377" s="50"/>
      <c r="BU1377" s="50"/>
      <c r="BV1377" s="50"/>
      <c r="BW1377" s="50"/>
      <c r="BX1377" s="50"/>
      <c r="BY1377" s="50"/>
      <c r="BZ1377" s="50"/>
      <c r="CA1377" s="50"/>
      <c r="CB1377" s="50"/>
      <c r="CC1377" s="50"/>
      <c r="CD1377" s="50"/>
      <c r="CE1377" s="50"/>
      <c r="CF1377" s="50"/>
      <c r="CG1377" s="50"/>
      <c r="CH1377" s="50"/>
      <c r="CI1377" s="50"/>
      <c r="CJ1377" s="50"/>
      <c r="CK1377" s="50"/>
      <c r="CL1377" s="50"/>
      <c r="CM1377" s="50"/>
      <c r="CN1377" s="50"/>
      <c r="CO1377" s="50"/>
      <c r="CP1377" s="50"/>
      <c r="CQ1377" s="50"/>
      <c r="CR1377" s="50"/>
      <c r="CS1377" s="50"/>
    </row>
    <row r="1378" spans="1:97" ht="15" thickBot="1">
      <c r="A1378" s="49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111"/>
      <c r="O1378" s="111"/>
      <c r="P1378" s="111"/>
      <c r="Q1378" s="111"/>
      <c r="R1378" s="111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1"/>
      <c r="AF1378" s="111"/>
      <c r="AG1378" s="111"/>
      <c r="AH1378" s="111"/>
      <c r="AI1378" s="111"/>
      <c r="AJ1378" s="111"/>
      <c r="AK1378" s="111"/>
      <c r="AL1378" s="111"/>
      <c r="AM1378" s="111"/>
      <c r="AN1378" s="111"/>
      <c r="AO1378" s="111"/>
      <c r="AP1378" s="111"/>
      <c r="AQ1378" s="111"/>
      <c r="AR1378" s="111"/>
      <c r="AS1378" s="111"/>
      <c r="AT1378" s="111"/>
      <c r="AU1378" s="111"/>
      <c r="AV1378" s="50"/>
      <c r="AW1378" s="50"/>
      <c r="AX1378" s="50"/>
      <c r="AY1378" s="50"/>
      <c r="AZ1378" s="50"/>
      <c r="BA1378" s="50"/>
      <c r="BB1378" s="50"/>
      <c r="BC1378" s="50"/>
      <c r="BD1378" s="50"/>
      <c r="BE1378" s="50"/>
      <c r="BF1378" s="50"/>
      <c r="BG1378" s="50"/>
      <c r="BH1378" s="50"/>
      <c r="BI1378" s="50"/>
      <c r="BJ1378" s="50"/>
      <c r="BK1378" s="50"/>
      <c r="BL1378" s="50"/>
      <c r="BM1378" s="50"/>
      <c r="BN1378" s="50"/>
      <c r="BO1378" s="50"/>
      <c r="BP1378" s="50"/>
      <c r="BQ1378" s="50"/>
      <c r="BR1378" s="50"/>
      <c r="BS1378" s="111"/>
      <c r="BT1378" s="50"/>
      <c r="BU1378" s="50"/>
      <c r="BV1378" s="50"/>
      <c r="BW1378" s="50"/>
      <c r="BX1378" s="50"/>
      <c r="BY1378" s="50"/>
      <c r="BZ1378" s="50"/>
      <c r="CA1378" s="50"/>
      <c r="CB1378" s="50"/>
      <c r="CC1378" s="50"/>
      <c r="CD1378" s="50"/>
      <c r="CE1378" s="50"/>
      <c r="CF1378" s="50"/>
      <c r="CG1378" s="50"/>
      <c r="CH1378" s="50"/>
      <c r="CI1378" s="50"/>
      <c r="CJ1378" s="50"/>
      <c r="CK1378" s="50"/>
      <c r="CL1378" s="50"/>
      <c r="CM1378" s="50"/>
      <c r="CN1378" s="50"/>
      <c r="CO1378" s="50"/>
      <c r="CP1378" s="50"/>
      <c r="CQ1378" s="50"/>
      <c r="CR1378" s="50"/>
      <c r="CS1378" s="50"/>
    </row>
    <row r="1379" spans="1:97" ht="15" thickBot="1">
      <c r="A1379" s="49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111"/>
      <c r="O1379" s="111"/>
      <c r="P1379" s="111"/>
      <c r="Q1379" s="111"/>
      <c r="R1379" s="111"/>
      <c r="S1379" s="111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1"/>
      <c r="AF1379" s="111"/>
      <c r="AG1379" s="111"/>
      <c r="AH1379" s="111"/>
      <c r="AI1379" s="111"/>
      <c r="AJ1379" s="111"/>
      <c r="AK1379" s="111"/>
      <c r="AL1379" s="111"/>
      <c r="AM1379" s="111"/>
      <c r="AN1379" s="111"/>
      <c r="AO1379" s="111"/>
      <c r="AP1379" s="111"/>
      <c r="AQ1379" s="111"/>
      <c r="AR1379" s="111"/>
      <c r="AS1379" s="111"/>
      <c r="AT1379" s="111"/>
      <c r="AU1379" s="111"/>
      <c r="AV1379" s="50"/>
      <c r="AW1379" s="50"/>
      <c r="AX1379" s="50"/>
      <c r="AY1379" s="50"/>
      <c r="AZ1379" s="50"/>
      <c r="BA1379" s="50"/>
      <c r="BB1379" s="50"/>
      <c r="BC1379" s="50"/>
      <c r="BD1379" s="50"/>
      <c r="BE1379" s="50"/>
      <c r="BF1379" s="50"/>
      <c r="BG1379" s="50"/>
      <c r="BH1379" s="50"/>
      <c r="BI1379" s="50"/>
      <c r="BJ1379" s="50"/>
      <c r="BK1379" s="50"/>
      <c r="BL1379" s="50"/>
      <c r="BM1379" s="50"/>
      <c r="BN1379" s="50"/>
      <c r="BO1379" s="50"/>
      <c r="BP1379" s="50"/>
      <c r="BQ1379" s="50"/>
      <c r="BR1379" s="50"/>
      <c r="BS1379" s="111"/>
      <c r="BT1379" s="50"/>
      <c r="BU1379" s="50"/>
      <c r="BV1379" s="50"/>
      <c r="BW1379" s="50"/>
      <c r="BX1379" s="50"/>
      <c r="BY1379" s="50"/>
      <c r="BZ1379" s="50"/>
      <c r="CA1379" s="50"/>
      <c r="CB1379" s="50"/>
      <c r="CC1379" s="50"/>
      <c r="CD1379" s="50"/>
      <c r="CE1379" s="50"/>
      <c r="CF1379" s="50"/>
      <c r="CG1379" s="50"/>
      <c r="CH1379" s="50"/>
      <c r="CI1379" s="50"/>
      <c r="CJ1379" s="50"/>
      <c r="CK1379" s="50"/>
      <c r="CL1379" s="50"/>
      <c r="CM1379" s="50"/>
      <c r="CN1379" s="50"/>
      <c r="CO1379" s="50"/>
      <c r="CP1379" s="50"/>
      <c r="CQ1379" s="50"/>
      <c r="CR1379" s="50"/>
      <c r="CS1379" s="50"/>
    </row>
    <row r="1380" spans="1:97" ht="15" thickBot="1">
      <c r="A1380" s="49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111"/>
      <c r="O1380" s="111"/>
      <c r="P1380" s="111"/>
      <c r="Q1380" s="111"/>
      <c r="R1380" s="111"/>
      <c r="S1380" s="111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1"/>
      <c r="AF1380" s="111"/>
      <c r="AG1380" s="111"/>
      <c r="AH1380" s="111"/>
      <c r="AI1380" s="111"/>
      <c r="AJ1380" s="111"/>
      <c r="AK1380" s="111"/>
      <c r="AL1380" s="111"/>
      <c r="AM1380" s="111"/>
      <c r="AN1380" s="111"/>
      <c r="AO1380" s="111"/>
      <c r="AP1380" s="111"/>
      <c r="AQ1380" s="111"/>
      <c r="AR1380" s="111"/>
      <c r="AS1380" s="111"/>
      <c r="AT1380" s="111"/>
      <c r="AU1380" s="111"/>
      <c r="AV1380" s="50"/>
      <c r="AW1380" s="50"/>
      <c r="AX1380" s="50"/>
      <c r="AY1380" s="50"/>
      <c r="AZ1380" s="50"/>
      <c r="BA1380" s="50"/>
      <c r="BB1380" s="50"/>
      <c r="BC1380" s="50"/>
      <c r="BD1380" s="50"/>
      <c r="BE1380" s="50"/>
      <c r="BF1380" s="50"/>
      <c r="BG1380" s="50"/>
      <c r="BH1380" s="50"/>
      <c r="BI1380" s="50"/>
      <c r="BJ1380" s="50"/>
      <c r="BK1380" s="50"/>
      <c r="BL1380" s="50"/>
      <c r="BM1380" s="50"/>
      <c r="BN1380" s="50"/>
      <c r="BO1380" s="50"/>
      <c r="BP1380" s="50"/>
      <c r="BQ1380" s="50"/>
      <c r="BR1380" s="50"/>
      <c r="BS1380" s="111"/>
      <c r="BT1380" s="50"/>
      <c r="BU1380" s="50"/>
      <c r="BV1380" s="50"/>
      <c r="BW1380" s="50"/>
      <c r="BX1380" s="50"/>
      <c r="BY1380" s="50"/>
      <c r="BZ1380" s="50"/>
      <c r="CA1380" s="50"/>
      <c r="CB1380" s="50"/>
      <c r="CC1380" s="50"/>
      <c r="CD1380" s="50"/>
      <c r="CE1380" s="50"/>
      <c r="CF1380" s="50"/>
      <c r="CG1380" s="50"/>
      <c r="CH1380" s="50"/>
      <c r="CI1380" s="50"/>
      <c r="CJ1380" s="50"/>
      <c r="CK1380" s="50"/>
      <c r="CL1380" s="50"/>
      <c r="CM1380" s="50"/>
      <c r="CN1380" s="50"/>
      <c r="CO1380" s="50"/>
      <c r="CP1380" s="50"/>
      <c r="CQ1380" s="50"/>
      <c r="CR1380" s="50"/>
      <c r="CS1380" s="50"/>
    </row>
    <row r="1381" spans="1:97" ht="15" thickBot="1">
      <c r="A1381" s="49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111"/>
      <c r="O1381" s="111"/>
      <c r="P1381" s="111"/>
      <c r="Q1381" s="111"/>
      <c r="R1381" s="111"/>
      <c r="S1381" s="111"/>
      <c r="T1381" s="111"/>
      <c r="U1381" s="111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1"/>
      <c r="AF1381" s="111"/>
      <c r="AG1381" s="111"/>
      <c r="AH1381" s="111"/>
      <c r="AI1381" s="111"/>
      <c r="AJ1381" s="111"/>
      <c r="AK1381" s="111"/>
      <c r="AL1381" s="111"/>
      <c r="AM1381" s="111"/>
      <c r="AN1381" s="111"/>
      <c r="AO1381" s="111"/>
      <c r="AP1381" s="111"/>
      <c r="AQ1381" s="111"/>
      <c r="AR1381" s="111"/>
      <c r="AS1381" s="111"/>
      <c r="AT1381" s="111"/>
      <c r="AU1381" s="111"/>
      <c r="AV1381" s="50"/>
      <c r="AW1381" s="50"/>
      <c r="AX1381" s="50"/>
      <c r="AY1381" s="50"/>
      <c r="AZ1381" s="50"/>
      <c r="BA1381" s="50"/>
      <c r="BB1381" s="50"/>
      <c r="BC1381" s="50"/>
      <c r="BD1381" s="50"/>
      <c r="BE1381" s="50"/>
      <c r="BF1381" s="50"/>
      <c r="BG1381" s="50"/>
      <c r="BH1381" s="50"/>
      <c r="BI1381" s="50"/>
      <c r="BJ1381" s="50"/>
      <c r="BK1381" s="50"/>
      <c r="BL1381" s="50"/>
      <c r="BM1381" s="50"/>
      <c r="BN1381" s="50"/>
      <c r="BO1381" s="50"/>
      <c r="BP1381" s="50"/>
      <c r="BQ1381" s="50"/>
      <c r="BR1381" s="50"/>
      <c r="BS1381" s="111"/>
      <c r="BT1381" s="50"/>
      <c r="BU1381" s="50"/>
      <c r="BV1381" s="50"/>
      <c r="BW1381" s="50"/>
      <c r="BX1381" s="50"/>
      <c r="BY1381" s="50"/>
      <c r="BZ1381" s="50"/>
      <c r="CA1381" s="50"/>
      <c r="CB1381" s="50"/>
      <c r="CC1381" s="50"/>
      <c r="CD1381" s="50"/>
      <c r="CE1381" s="50"/>
      <c r="CF1381" s="50"/>
      <c r="CG1381" s="50"/>
      <c r="CH1381" s="50"/>
      <c r="CI1381" s="50"/>
      <c r="CJ1381" s="50"/>
      <c r="CK1381" s="50"/>
      <c r="CL1381" s="50"/>
      <c r="CM1381" s="50"/>
      <c r="CN1381" s="50"/>
      <c r="CO1381" s="50"/>
      <c r="CP1381" s="50"/>
      <c r="CQ1381" s="50"/>
      <c r="CR1381" s="50"/>
      <c r="CS1381" s="50"/>
    </row>
    <row r="1382" spans="1:97" ht="15" thickBot="1">
      <c r="A1382" s="49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111"/>
      <c r="O1382" s="111"/>
      <c r="P1382" s="111"/>
      <c r="Q1382" s="111"/>
      <c r="R1382" s="111"/>
      <c r="S1382" s="111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1"/>
      <c r="AF1382" s="111"/>
      <c r="AG1382" s="111"/>
      <c r="AH1382" s="111"/>
      <c r="AI1382" s="111"/>
      <c r="AJ1382" s="111"/>
      <c r="AK1382" s="111"/>
      <c r="AL1382" s="111"/>
      <c r="AM1382" s="111"/>
      <c r="AN1382" s="111"/>
      <c r="AO1382" s="111"/>
      <c r="AP1382" s="111"/>
      <c r="AQ1382" s="111"/>
      <c r="AR1382" s="111"/>
      <c r="AS1382" s="111"/>
      <c r="AT1382" s="111"/>
      <c r="AU1382" s="111"/>
      <c r="AV1382" s="50"/>
      <c r="AW1382" s="50"/>
      <c r="AX1382" s="50"/>
      <c r="AY1382" s="50"/>
      <c r="AZ1382" s="50"/>
      <c r="BA1382" s="50"/>
      <c r="BB1382" s="50"/>
      <c r="BC1382" s="50"/>
      <c r="BD1382" s="50"/>
      <c r="BE1382" s="50"/>
      <c r="BF1382" s="50"/>
      <c r="BG1382" s="50"/>
      <c r="BH1382" s="50"/>
      <c r="BI1382" s="50"/>
      <c r="BJ1382" s="50"/>
      <c r="BK1382" s="50"/>
      <c r="BL1382" s="50"/>
      <c r="BM1382" s="50"/>
      <c r="BN1382" s="50"/>
      <c r="BO1382" s="50"/>
      <c r="BP1382" s="50"/>
      <c r="BQ1382" s="50"/>
      <c r="BR1382" s="50"/>
      <c r="BS1382" s="111"/>
      <c r="BT1382" s="50"/>
      <c r="BU1382" s="50"/>
      <c r="BV1382" s="50"/>
      <c r="BW1382" s="50"/>
      <c r="BX1382" s="50"/>
      <c r="BY1382" s="50"/>
      <c r="BZ1382" s="50"/>
      <c r="CA1382" s="50"/>
      <c r="CB1382" s="50"/>
      <c r="CC1382" s="50"/>
      <c r="CD1382" s="50"/>
      <c r="CE1382" s="50"/>
      <c r="CF1382" s="50"/>
      <c r="CG1382" s="50"/>
      <c r="CH1382" s="50"/>
      <c r="CI1382" s="50"/>
      <c r="CJ1382" s="50"/>
      <c r="CK1382" s="50"/>
      <c r="CL1382" s="50"/>
      <c r="CM1382" s="50"/>
      <c r="CN1382" s="50"/>
      <c r="CO1382" s="50"/>
      <c r="CP1382" s="50"/>
      <c r="CQ1382" s="50"/>
      <c r="CR1382" s="50"/>
      <c r="CS1382" s="50"/>
    </row>
    <row r="1383" spans="1:97" ht="15" thickBot="1">
      <c r="A1383" s="49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111"/>
      <c r="O1383" s="111"/>
      <c r="P1383" s="111"/>
      <c r="Q1383" s="111"/>
      <c r="R1383" s="111"/>
      <c r="S1383" s="111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1"/>
      <c r="AF1383" s="111"/>
      <c r="AG1383" s="111"/>
      <c r="AH1383" s="111"/>
      <c r="AI1383" s="111"/>
      <c r="AJ1383" s="111"/>
      <c r="AK1383" s="111"/>
      <c r="AL1383" s="111"/>
      <c r="AM1383" s="111"/>
      <c r="AN1383" s="111"/>
      <c r="AO1383" s="111"/>
      <c r="AP1383" s="111"/>
      <c r="AQ1383" s="111"/>
      <c r="AR1383" s="111"/>
      <c r="AS1383" s="111"/>
      <c r="AT1383" s="111"/>
      <c r="AU1383" s="111"/>
      <c r="AV1383" s="50"/>
      <c r="AW1383" s="50"/>
      <c r="AX1383" s="50"/>
      <c r="AY1383" s="50"/>
      <c r="AZ1383" s="50"/>
      <c r="BA1383" s="50"/>
      <c r="BB1383" s="50"/>
      <c r="BC1383" s="50"/>
      <c r="BD1383" s="50"/>
      <c r="BE1383" s="50"/>
      <c r="BF1383" s="50"/>
      <c r="BG1383" s="50"/>
      <c r="BH1383" s="50"/>
      <c r="BI1383" s="50"/>
      <c r="BJ1383" s="50"/>
      <c r="BK1383" s="50"/>
      <c r="BL1383" s="50"/>
      <c r="BM1383" s="50"/>
      <c r="BN1383" s="50"/>
      <c r="BO1383" s="50"/>
      <c r="BP1383" s="50"/>
      <c r="BQ1383" s="50"/>
      <c r="BR1383" s="50"/>
      <c r="BS1383" s="111"/>
      <c r="BT1383" s="50"/>
      <c r="BU1383" s="50"/>
      <c r="BV1383" s="50"/>
      <c r="BW1383" s="50"/>
      <c r="BX1383" s="50"/>
      <c r="BY1383" s="50"/>
      <c r="BZ1383" s="50"/>
      <c r="CA1383" s="50"/>
      <c r="CB1383" s="50"/>
      <c r="CC1383" s="50"/>
      <c r="CD1383" s="50"/>
      <c r="CE1383" s="50"/>
      <c r="CF1383" s="50"/>
      <c r="CG1383" s="50"/>
      <c r="CH1383" s="50"/>
      <c r="CI1383" s="50"/>
      <c r="CJ1383" s="50"/>
      <c r="CK1383" s="50"/>
      <c r="CL1383" s="50"/>
      <c r="CM1383" s="50"/>
      <c r="CN1383" s="50"/>
      <c r="CO1383" s="50"/>
      <c r="CP1383" s="50"/>
      <c r="CQ1383" s="50"/>
      <c r="CR1383" s="50"/>
      <c r="CS1383" s="50"/>
    </row>
    <row r="1384" spans="1:97" ht="15" thickBot="1">
      <c r="A1384" s="49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111"/>
      <c r="O1384" s="111"/>
      <c r="P1384" s="111"/>
      <c r="Q1384" s="111"/>
      <c r="R1384" s="111"/>
      <c r="S1384" s="111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1"/>
      <c r="AF1384" s="111"/>
      <c r="AG1384" s="111"/>
      <c r="AH1384" s="111"/>
      <c r="AI1384" s="111"/>
      <c r="AJ1384" s="111"/>
      <c r="AK1384" s="111"/>
      <c r="AL1384" s="111"/>
      <c r="AM1384" s="111"/>
      <c r="AN1384" s="111"/>
      <c r="AO1384" s="111"/>
      <c r="AP1384" s="111"/>
      <c r="AQ1384" s="111"/>
      <c r="AR1384" s="111"/>
      <c r="AS1384" s="111"/>
      <c r="AT1384" s="111"/>
      <c r="AU1384" s="111"/>
      <c r="AV1384" s="50"/>
      <c r="AW1384" s="50"/>
      <c r="AX1384" s="50"/>
      <c r="AY1384" s="50"/>
      <c r="AZ1384" s="50"/>
      <c r="BA1384" s="50"/>
      <c r="BB1384" s="50"/>
      <c r="BC1384" s="50"/>
      <c r="BD1384" s="50"/>
      <c r="BE1384" s="50"/>
      <c r="BF1384" s="50"/>
      <c r="BG1384" s="50"/>
      <c r="BH1384" s="50"/>
      <c r="BI1384" s="50"/>
      <c r="BJ1384" s="50"/>
      <c r="BK1384" s="50"/>
      <c r="BL1384" s="50"/>
      <c r="BM1384" s="50"/>
      <c r="BN1384" s="50"/>
      <c r="BO1384" s="50"/>
      <c r="BP1384" s="50"/>
      <c r="BQ1384" s="50"/>
      <c r="BR1384" s="50"/>
      <c r="BS1384" s="111"/>
      <c r="BT1384" s="50"/>
      <c r="BU1384" s="50"/>
      <c r="BV1384" s="50"/>
      <c r="BW1384" s="50"/>
      <c r="BX1384" s="50"/>
      <c r="BY1384" s="50"/>
      <c r="BZ1384" s="50"/>
      <c r="CA1384" s="50"/>
      <c r="CB1384" s="50"/>
      <c r="CC1384" s="50"/>
      <c r="CD1384" s="50"/>
      <c r="CE1384" s="50"/>
      <c r="CF1384" s="50"/>
      <c r="CG1384" s="50"/>
      <c r="CH1384" s="50"/>
      <c r="CI1384" s="50"/>
      <c r="CJ1384" s="50"/>
      <c r="CK1384" s="50"/>
      <c r="CL1384" s="50"/>
      <c r="CM1384" s="50"/>
      <c r="CN1384" s="50"/>
      <c r="CO1384" s="50"/>
      <c r="CP1384" s="50"/>
      <c r="CQ1384" s="50"/>
      <c r="CR1384" s="50"/>
      <c r="CS1384" s="50"/>
    </row>
    <row r="1385" spans="1:97" ht="15" thickBot="1">
      <c r="A1385" s="49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111"/>
      <c r="O1385" s="111"/>
      <c r="P1385" s="111"/>
      <c r="Q1385" s="111"/>
      <c r="R1385" s="111"/>
      <c r="S1385" s="111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1"/>
      <c r="AF1385" s="111"/>
      <c r="AG1385" s="111"/>
      <c r="AH1385" s="111"/>
      <c r="AI1385" s="111"/>
      <c r="AJ1385" s="111"/>
      <c r="AK1385" s="111"/>
      <c r="AL1385" s="111"/>
      <c r="AM1385" s="111"/>
      <c r="AN1385" s="111"/>
      <c r="AO1385" s="111"/>
      <c r="AP1385" s="111"/>
      <c r="AQ1385" s="111"/>
      <c r="AR1385" s="111"/>
      <c r="AS1385" s="111"/>
      <c r="AT1385" s="111"/>
      <c r="AU1385" s="111"/>
      <c r="AV1385" s="50"/>
      <c r="AW1385" s="50"/>
      <c r="AX1385" s="50"/>
      <c r="AY1385" s="50"/>
      <c r="AZ1385" s="50"/>
      <c r="BA1385" s="50"/>
      <c r="BB1385" s="50"/>
      <c r="BC1385" s="50"/>
      <c r="BD1385" s="50"/>
      <c r="BE1385" s="50"/>
      <c r="BF1385" s="50"/>
      <c r="BG1385" s="50"/>
      <c r="BH1385" s="50"/>
      <c r="BI1385" s="50"/>
      <c r="BJ1385" s="50"/>
      <c r="BK1385" s="50"/>
      <c r="BL1385" s="50"/>
      <c r="BM1385" s="50"/>
      <c r="BN1385" s="50"/>
      <c r="BO1385" s="50"/>
      <c r="BP1385" s="50"/>
      <c r="BQ1385" s="50"/>
      <c r="BR1385" s="50"/>
      <c r="BS1385" s="111"/>
      <c r="BT1385" s="50"/>
      <c r="BU1385" s="50"/>
      <c r="BV1385" s="50"/>
      <c r="BW1385" s="50"/>
      <c r="BX1385" s="50"/>
      <c r="BY1385" s="50"/>
      <c r="BZ1385" s="50"/>
      <c r="CA1385" s="50"/>
      <c r="CB1385" s="50"/>
      <c r="CC1385" s="50"/>
      <c r="CD1385" s="50"/>
      <c r="CE1385" s="50"/>
      <c r="CF1385" s="50"/>
      <c r="CG1385" s="50"/>
      <c r="CH1385" s="50"/>
      <c r="CI1385" s="50"/>
      <c r="CJ1385" s="50"/>
      <c r="CK1385" s="50"/>
      <c r="CL1385" s="50"/>
      <c r="CM1385" s="50"/>
      <c r="CN1385" s="50"/>
      <c r="CO1385" s="50"/>
      <c r="CP1385" s="50"/>
      <c r="CQ1385" s="50"/>
      <c r="CR1385" s="50"/>
      <c r="CS1385" s="50"/>
    </row>
    <row r="1386" spans="1:97" ht="15" thickBot="1">
      <c r="A1386" s="49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111"/>
      <c r="O1386" s="111"/>
      <c r="P1386" s="111"/>
      <c r="Q1386" s="111"/>
      <c r="R1386" s="111"/>
      <c r="S1386" s="111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1"/>
      <c r="AF1386" s="111"/>
      <c r="AG1386" s="111"/>
      <c r="AH1386" s="111"/>
      <c r="AI1386" s="111"/>
      <c r="AJ1386" s="111"/>
      <c r="AK1386" s="111"/>
      <c r="AL1386" s="111"/>
      <c r="AM1386" s="111"/>
      <c r="AN1386" s="111"/>
      <c r="AO1386" s="111"/>
      <c r="AP1386" s="111"/>
      <c r="AQ1386" s="111"/>
      <c r="AR1386" s="111"/>
      <c r="AS1386" s="111"/>
      <c r="AT1386" s="111"/>
      <c r="AU1386" s="111"/>
      <c r="AV1386" s="50"/>
      <c r="AW1386" s="50"/>
      <c r="AX1386" s="50"/>
      <c r="AY1386" s="50"/>
      <c r="AZ1386" s="50"/>
      <c r="BA1386" s="50"/>
      <c r="BB1386" s="50"/>
      <c r="BC1386" s="50"/>
      <c r="BD1386" s="50"/>
      <c r="BE1386" s="50"/>
      <c r="BF1386" s="50"/>
      <c r="BG1386" s="50"/>
      <c r="BH1386" s="50"/>
      <c r="BI1386" s="50"/>
      <c r="BJ1386" s="50"/>
      <c r="BK1386" s="50"/>
      <c r="BL1386" s="50"/>
      <c r="BM1386" s="50"/>
      <c r="BN1386" s="50"/>
      <c r="BO1386" s="50"/>
      <c r="BP1386" s="50"/>
      <c r="BQ1386" s="50"/>
      <c r="BR1386" s="50"/>
      <c r="BS1386" s="111"/>
      <c r="BT1386" s="50"/>
      <c r="BU1386" s="50"/>
      <c r="BV1386" s="50"/>
      <c r="BW1386" s="50"/>
      <c r="BX1386" s="50"/>
      <c r="BY1386" s="50"/>
      <c r="BZ1386" s="50"/>
      <c r="CA1386" s="50"/>
      <c r="CB1386" s="50"/>
      <c r="CC1386" s="50"/>
      <c r="CD1386" s="50"/>
      <c r="CE1386" s="50"/>
      <c r="CF1386" s="50"/>
      <c r="CG1386" s="50"/>
      <c r="CH1386" s="50"/>
      <c r="CI1386" s="50"/>
      <c r="CJ1386" s="50"/>
      <c r="CK1386" s="50"/>
      <c r="CL1386" s="50"/>
      <c r="CM1386" s="50"/>
      <c r="CN1386" s="50"/>
      <c r="CO1386" s="50"/>
      <c r="CP1386" s="50"/>
      <c r="CQ1386" s="50"/>
      <c r="CR1386" s="50"/>
      <c r="CS1386" s="50"/>
    </row>
    <row r="1387" spans="1:97" ht="15" thickBot="1">
      <c r="A1387" s="49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111"/>
      <c r="O1387" s="111"/>
      <c r="P1387" s="111"/>
      <c r="Q1387" s="111"/>
      <c r="R1387" s="111"/>
      <c r="S1387" s="111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1"/>
      <c r="AF1387" s="111"/>
      <c r="AG1387" s="111"/>
      <c r="AH1387" s="111"/>
      <c r="AI1387" s="111"/>
      <c r="AJ1387" s="111"/>
      <c r="AK1387" s="111"/>
      <c r="AL1387" s="111"/>
      <c r="AM1387" s="111"/>
      <c r="AN1387" s="111"/>
      <c r="AO1387" s="111"/>
      <c r="AP1387" s="111"/>
      <c r="AQ1387" s="111"/>
      <c r="AR1387" s="111"/>
      <c r="AS1387" s="111"/>
      <c r="AT1387" s="111"/>
      <c r="AU1387" s="111"/>
      <c r="AV1387" s="50"/>
      <c r="AW1387" s="50"/>
      <c r="AX1387" s="50"/>
      <c r="AY1387" s="50"/>
      <c r="AZ1387" s="50"/>
      <c r="BA1387" s="50"/>
      <c r="BB1387" s="50"/>
      <c r="BC1387" s="50"/>
      <c r="BD1387" s="50"/>
      <c r="BE1387" s="50"/>
      <c r="BF1387" s="50"/>
      <c r="BG1387" s="50"/>
      <c r="BH1387" s="50"/>
      <c r="BI1387" s="50"/>
      <c r="BJ1387" s="50"/>
      <c r="BK1387" s="50"/>
      <c r="BL1387" s="50"/>
      <c r="BM1387" s="50"/>
      <c r="BN1387" s="50"/>
      <c r="BO1387" s="50"/>
      <c r="BP1387" s="50"/>
      <c r="BQ1387" s="50"/>
      <c r="BR1387" s="50"/>
      <c r="BS1387" s="111"/>
      <c r="BT1387" s="50"/>
      <c r="BU1387" s="50"/>
      <c r="BV1387" s="50"/>
      <c r="BW1387" s="50"/>
      <c r="BX1387" s="50"/>
      <c r="BY1387" s="50"/>
      <c r="BZ1387" s="50"/>
      <c r="CA1387" s="50"/>
      <c r="CB1387" s="50"/>
      <c r="CC1387" s="50"/>
      <c r="CD1387" s="50"/>
      <c r="CE1387" s="50"/>
      <c r="CF1387" s="50"/>
      <c r="CG1387" s="50"/>
      <c r="CH1387" s="50"/>
      <c r="CI1387" s="50"/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</row>
    <row r="1388" spans="1:97" ht="15" thickBot="1">
      <c r="A1388" s="49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111"/>
      <c r="O1388" s="111"/>
      <c r="P1388" s="111"/>
      <c r="Q1388" s="111"/>
      <c r="R1388" s="111"/>
      <c r="S1388" s="111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1"/>
      <c r="AF1388" s="111"/>
      <c r="AG1388" s="111"/>
      <c r="AH1388" s="111"/>
      <c r="AI1388" s="111"/>
      <c r="AJ1388" s="111"/>
      <c r="AK1388" s="111"/>
      <c r="AL1388" s="111"/>
      <c r="AM1388" s="111"/>
      <c r="AN1388" s="111"/>
      <c r="AO1388" s="111"/>
      <c r="AP1388" s="111"/>
      <c r="AQ1388" s="111"/>
      <c r="AR1388" s="111"/>
      <c r="AS1388" s="111"/>
      <c r="AT1388" s="111"/>
      <c r="AU1388" s="111"/>
      <c r="AV1388" s="50"/>
      <c r="AW1388" s="50"/>
      <c r="AX1388" s="50"/>
      <c r="AY1388" s="50"/>
      <c r="AZ1388" s="50"/>
      <c r="BA1388" s="50"/>
      <c r="BB1388" s="50"/>
      <c r="BC1388" s="50"/>
      <c r="BD1388" s="50"/>
      <c r="BE1388" s="50"/>
      <c r="BF1388" s="50"/>
      <c r="BG1388" s="50"/>
      <c r="BH1388" s="50"/>
      <c r="BI1388" s="50"/>
      <c r="BJ1388" s="50"/>
      <c r="BK1388" s="50"/>
      <c r="BL1388" s="50"/>
      <c r="BM1388" s="50"/>
      <c r="BN1388" s="50"/>
      <c r="BO1388" s="50"/>
      <c r="BP1388" s="50"/>
      <c r="BQ1388" s="50"/>
      <c r="BR1388" s="50"/>
      <c r="BS1388" s="111"/>
      <c r="BT1388" s="50"/>
      <c r="BU1388" s="50"/>
      <c r="BV1388" s="50"/>
      <c r="BW1388" s="50"/>
      <c r="BX1388" s="50"/>
      <c r="BY1388" s="50"/>
      <c r="BZ1388" s="50"/>
      <c r="CA1388" s="50"/>
      <c r="CB1388" s="50"/>
      <c r="CC1388" s="50"/>
      <c r="CD1388" s="50"/>
      <c r="CE1388" s="50"/>
      <c r="CF1388" s="50"/>
      <c r="CG1388" s="50"/>
      <c r="CH1388" s="50"/>
      <c r="CI1388" s="50"/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</row>
    <row r="1389" spans="1:97" ht="15" thickBot="1">
      <c r="A1389" s="49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111"/>
      <c r="O1389" s="111"/>
      <c r="P1389" s="111"/>
      <c r="Q1389" s="111"/>
      <c r="R1389" s="111"/>
      <c r="S1389" s="111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1"/>
      <c r="AF1389" s="111"/>
      <c r="AG1389" s="111"/>
      <c r="AH1389" s="111"/>
      <c r="AI1389" s="111"/>
      <c r="AJ1389" s="111"/>
      <c r="AK1389" s="111"/>
      <c r="AL1389" s="111"/>
      <c r="AM1389" s="111"/>
      <c r="AN1389" s="111"/>
      <c r="AO1389" s="111"/>
      <c r="AP1389" s="111"/>
      <c r="AQ1389" s="111"/>
      <c r="AR1389" s="111"/>
      <c r="AS1389" s="111"/>
      <c r="AT1389" s="111"/>
      <c r="AU1389" s="111"/>
      <c r="AV1389" s="50"/>
      <c r="AW1389" s="50"/>
      <c r="AX1389" s="50"/>
      <c r="AY1389" s="50"/>
      <c r="AZ1389" s="50"/>
      <c r="BA1389" s="50"/>
      <c r="BB1389" s="50"/>
      <c r="BC1389" s="50"/>
      <c r="BD1389" s="50"/>
      <c r="BE1389" s="50"/>
      <c r="BF1389" s="50"/>
      <c r="BG1389" s="50"/>
      <c r="BH1389" s="50"/>
      <c r="BI1389" s="50"/>
      <c r="BJ1389" s="50"/>
      <c r="BK1389" s="50"/>
      <c r="BL1389" s="50"/>
      <c r="BM1389" s="50"/>
      <c r="BN1389" s="50"/>
      <c r="BO1389" s="50"/>
      <c r="BP1389" s="50"/>
      <c r="BQ1389" s="50"/>
      <c r="BR1389" s="50"/>
      <c r="BS1389" s="111"/>
      <c r="BT1389" s="50"/>
      <c r="BU1389" s="50"/>
      <c r="BV1389" s="50"/>
      <c r="BW1389" s="50"/>
      <c r="BX1389" s="50"/>
      <c r="BY1389" s="50"/>
      <c r="BZ1389" s="50"/>
      <c r="CA1389" s="50"/>
      <c r="CB1389" s="50"/>
      <c r="CC1389" s="50"/>
      <c r="CD1389" s="50"/>
      <c r="CE1389" s="50"/>
      <c r="CF1389" s="50"/>
      <c r="CG1389" s="50"/>
      <c r="CH1389" s="50"/>
      <c r="CI1389" s="50"/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</row>
    <row r="1390" spans="1:97" ht="15" thickBot="1">
      <c r="A1390" s="49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111"/>
      <c r="O1390" s="111"/>
      <c r="P1390" s="111"/>
      <c r="Q1390" s="111"/>
      <c r="R1390" s="111"/>
      <c r="S1390" s="111"/>
      <c r="T1390" s="111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1"/>
      <c r="AF1390" s="111"/>
      <c r="AG1390" s="111"/>
      <c r="AH1390" s="111"/>
      <c r="AI1390" s="111"/>
      <c r="AJ1390" s="111"/>
      <c r="AK1390" s="111"/>
      <c r="AL1390" s="111"/>
      <c r="AM1390" s="111"/>
      <c r="AN1390" s="111"/>
      <c r="AO1390" s="111"/>
      <c r="AP1390" s="111"/>
      <c r="AQ1390" s="111"/>
      <c r="AR1390" s="111"/>
      <c r="AS1390" s="111"/>
      <c r="AT1390" s="111"/>
      <c r="AU1390" s="111"/>
      <c r="AV1390" s="50"/>
      <c r="AW1390" s="50"/>
      <c r="AX1390" s="50"/>
      <c r="AY1390" s="50"/>
      <c r="AZ1390" s="50"/>
      <c r="BA1390" s="50"/>
      <c r="BB1390" s="50"/>
      <c r="BC1390" s="50"/>
      <c r="BD1390" s="50"/>
      <c r="BE1390" s="50"/>
      <c r="BF1390" s="50"/>
      <c r="BG1390" s="50"/>
      <c r="BH1390" s="50"/>
      <c r="BI1390" s="50"/>
      <c r="BJ1390" s="50"/>
      <c r="BK1390" s="50"/>
      <c r="BL1390" s="50"/>
      <c r="BM1390" s="50"/>
      <c r="BN1390" s="50"/>
      <c r="BO1390" s="50"/>
      <c r="BP1390" s="50"/>
      <c r="BQ1390" s="50"/>
      <c r="BR1390" s="50"/>
      <c r="BS1390" s="111"/>
      <c r="BT1390" s="50"/>
      <c r="BU1390" s="50"/>
      <c r="BV1390" s="50"/>
      <c r="BW1390" s="50"/>
      <c r="BX1390" s="50"/>
      <c r="BY1390" s="50"/>
      <c r="BZ1390" s="50"/>
      <c r="CA1390" s="50"/>
      <c r="CB1390" s="50"/>
      <c r="CC1390" s="50"/>
      <c r="CD1390" s="50"/>
      <c r="CE1390" s="50"/>
      <c r="CF1390" s="50"/>
      <c r="CG1390" s="50"/>
      <c r="CH1390" s="50"/>
      <c r="CI1390" s="50"/>
      <c r="CJ1390" s="50"/>
      <c r="CK1390" s="50"/>
      <c r="CL1390" s="50"/>
      <c r="CM1390" s="50"/>
      <c r="CN1390" s="50"/>
      <c r="CO1390" s="50"/>
      <c r="CP1390" s="50"/>
      <c r="CQ1390" s="50"/>
      <c r="CR1390" s="50"/>
      <c r="CS1390" s="50"/>
    </row>
    <row r="1391" spans="1:97" ht="15" thickBot="1">
      <c r="A1391" s="49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111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1"/>
      <c r="AF1391" s="111"/>
      <c r="AG1391" s="111"/>
      <c r="AH1391" s="111"/>
      <c r="AI1391" s="111"/>
      <c r="AJ1391" s="111"/>
      <c r="AK1391" s="111"/>
      <c r="AL1391" s="111"/>
      <c r="AM1391" s="111"/>
      <c r="AN1391" s="111"/>
      <c r="AO1391" s="111"/>
      <c r="AP1391" s="111"/>
      <c r="AQ1391" s="111"/>
      <c r="AR1391" s="111"/>
      <c r="AS1391" s="111"/>
      <c r="AT1391" s="111"/>
      <c r="AU1391" s="111"/>
      <c r="AV1391" s="50"/>
      <c r="AW1391" s="50"/>
      <c r="AX1391" s="50"/>
      <c r="AY1391" s="50"/>
      <c r="AZ1391" s="50"/>
      <c r="BA1391" s="50"/>
      <c r="BB1391" s="50"/>
      <c r="BC1391" s="50"/>
      <c r="BD1391" s="50"/>
      <c r="BE1391" s="50"/>
      <c r="BF1391" s="50"/>
      <c r="BG1391" s="50"/>
      <c r="BH1391" s="50"/>
      <c r="BI1391" s="50"/>
      <c r="BJ1391" s="50"/>
      <c r="BK1391" s="50"/>
      <c r="BL1391" s="50"/>
      <c r="BM1391" s="50"/>
      <c r="BN1391" s="50"/>
      <c r="BO1391" s="50"/>
      <c r="BP1391" s="50"/>
      <c r="BQ1391" s="50"/>
      <c r="BR1391" s="50"/>
      <c r="BS1391" s="111"/>
      <c r="BT1391" s="50"/>
      <c r="BU1391" s="50"/>
      <c r="BV1391" s="50"/>
      <c r="BW1391" s="50"/>
      <c r="BX1391" s="50"/>
      <c r="BY1391" s="50"/>
      <c r="BZ1391" s="50"/>
      <c r="CA1391" s="50"/>
      <c r="CB1391" s="50"/>
      <c r="CC1391" s="50"/>
      <c r="CD1391" s="50"/>
      <c r="CE1391" s="50"/>
      <c r="CF1391" s="50"/>
      <c r="CG1391" s="50"/>
      <c r="CH1391" s="50"/>
      <c r="CI1391" s="50"/>
      <c r="CJ1391" s="50"/>
      <c r="CK1391" s="50"/>
      <c r="CL1391" s="50"/>
      <c r="CM1391" s="50"/>
      <c r="CN1391" s="50"/>
      <c r="CO1391" s="50"/>
      <c r="CP1391" s="50"/>
      <c r="CQ1391" s="50"/>
      <c r="CR1391" s="50"/>
      <c r="CS1391" s="50"/>
    </row>
    <row r="1392" spans="1:97" ht="15" thickBot="1">
      <c r="A1392" s="49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111"/>
      <c r="O1392" s="111"/>
      <c r="P1392" s="111"/>
      <c r="Q1392" s="111"/>
      <c r="R1392" s="111"/>
      <c r="S1392" s="111"/>
      <c r="T1392" s="111"/>
      <c r="U1392" s="111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1"/>
      <c r="AF1392" s="111"/>
      <c r="AG1392" s="111"/>
      <c r="AH1392" s="111"/>
      <c r="AI1392" s="111"/>
      <c r="AJ1392" s="111"/>
      <c r="AK1392" s="111"/>
      <c r="AL1392" s="111"/>
      <c r="AM1392" s="111"/>
      <c r="AN1392" s="111"/>
      <c r="AO1392" s="111"/>
      <c r="AP1392" s="111"/>
      <c r="AQ1392" s="111"/>
      <c r="AR1392" s="111"/>
      <c r="AS1392" s="111"/>
      <c r="AT1392" s="111"/>
      <c r="AU1392" s="111"/>
      <c r="AV1392" s="50"/>
      <c r="AW1392" s="50"/>
      <c r="AX1392" s="50"/>
      <c r="AY1392" s="50"/>
      <c r="AZ1392" s="50"/>
      <c r="BA1392" s="50"/>
      <c r="BB1392" s="50"/>
      <c r="BC1392" s="50"/>
      <c r="BD1392" s="50"/>
      <c r="BE1392" s="50"/>
      <c r="BF1392" s="50"/>
      <c r="BG1392" s="50"/>
      <c r="BH1392" s="50"/>
      <c r="BI1392" s="50"/>
      <c r="BJ1392" s="50"/>
      <c r="BK1392" s="50"/>
      <c r="BL1392" s="50"/>
      <c r="BM1392" s="50"/>
      <c r="BN1392" s="50"/>
      <c r="BO1392" s="50"/>
      <c r="BP1392" s="50"/>
      <c r="BQ1392" s="50"/>
      <c r="BR1392" s="50"/>
      <c r="BS1392" s="111"/>
      <c r="BT1392" s="50"/>
      <c r="BU1392" s="50"/>
      <c r="BV1392" s="50"/>
      <c r="BW1392" s="50"/>
      <c r="BX1392" s="50"/>
      <c r="BY1392" s="50"/>
      <c r="BZ1392" s="50"/>
      <c r="CA1392" s="50"/>
      <c r="CB1392" s="50"/>
      <c r="CC1392" s="50"/>
      <c r="CD1392" s="50"/>
      <c r="CE1392" s="50"/>
      <c r="CF1392" s="50"/>
      <c r="CG1392" s="50"/>
      <c r="CH1392" s="50"/>
      <c r="CI1392" s="50"/>
      <c r="CJ1392" s="50"/>
      <c r="CK1392" s="50"/>
      <c r="CL1392" s="50"/>
      <c r="CM1392" s="50"/>
      <c r="CN1392" s="50"/>
      <c r="CO1392" s="50"/>
      <c r="CP1392" s="50"/>
      <c r="CQ1392" s="50"/>
      <c r="CR1392" s="50"/>
      <c r="CS1392" s="50"/>
    </row>
    <row r="1393" spans="1:97" ht="15" thickBot="1">
      <c r="A1393" s="49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111"/>
      <c r="O1393" s="111"/>
      <c r="P1393" s="111"/>
      <c r="Q1393" s="111"/>
      <c r="R1393" s="111"/>
      <c r="S1393" s="111"/>
      <c r="T1393" s="111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1"/>
      <c r="AF1393" s="111"/>
      <c r="AG1393" s="111"/>
      <c r="AH1393" s="111"/>
      <c r="AI1393" s="111"/>
      <c r="AJ1393" s="111"/>
      <c r="AK1393" s="111"/>
      <c r="AL1393" s="111"/>
      <c r="AM1393" s="111"/>
      <c r="AN1393" s="111"/>
      <c r="AO1393" s="111"/>
      <c r="AP1393" s="111"/>
      <c r="AQ1393" s="111"/>
      <c r="AR1393" s="111"/>
      <c r="AS1393" s="111"/>
      <c r="AT1393" s="111"/>
      <c r="AU1393" s="111"/>
      <c r="AV1393" s="50"/>
      <c r="AW1393" s="50"/>
      <c r="AX1393" s="50"/>
      <c r="AY1393" s="50"/>
      <c r="AZ1393" s="50"/>
      <c r="BA1393" s="50"/>
      <c r="BB1393" s="50"/>
      <c r="BC1393" s="50"/>
      <c r="BD1393" s="50"/>
      <c r="BE1393" s="50"/>
      <c r="BF1393" s="50"/>
      <c r="BG1393" s="50"/>
      <c r="BH1393" s="50"/>
      <c r="BI1393" s="50"/>
      <c r="BJ1393" s="50"/>
      <c r="BK1393" s="50"/>
      <c r="BL1393" s="50"/>
      <c r="BM1393" s="50"/>
      <c r="BN1393" s="50"/>
      <c r="BO1393" s="50"/>
      <c r="BP1393" s="50"/>
      <c r="BQ1393" s="50"/>
      <c r="BR1393" s="50"/>
      <c r="BS1393" s="111"/>
      <c r="BT1393" s="50"/>
      <c r="BU1393" s="50"/>
      <c r="BV1393" s="50"/>
      <c r="BW1393" s="50"/>
      <c r="BX1393" s="50"/>
      <c r="BY1393" s="50"/>
      <c r="BZ1393" s="50"/>
      <c r="CA1393" s="50"/>
      <c r="CB1393" s="50"/>
      <c r="CC1393" s="50"/>
      <c r="CD1393" s="50"/>
      <c r="CE1393" s="50"/>
      <c r="CF1393" s="50"/>
      <c r="CG1393" s="50"/>
      <c r="CH1393" s="50"/>
      <c r="CI1393" s="50"/>
      <c r="CJ1393" s="50"/>
      <c r="CK1393" s="50"/>
      <c r="CL1393" s="50"/>
      <c r="CM1393" s="50"/>
      <c r="CN1393" s="50"/>
      <c r="CO1393" s="50"/>
      <c r="CP1393" s="50"/>
      <c r="CQ1393" s="50"/>
      <c r="CR1393" s="50"/>
      <c r="CS1393" s="50"/>
    </row>
    <row r="1394" spans="1:97" ht="15" thickBot="1">
      <c r="A1394" s="49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111"/>
      <c r="O1394" s="111"/>
      <c r="P1394" s="111"/>
      <c r="Q1394" s="111"/>
      <c r="R1394" s="111"/>
      <c r="S1394" s="111"/>
      <c r="T1394" s="111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1"/>
      <c r="AF1394" s="111"/>
      <c r="AG1394" s="111"/>
      <c r="AH1394" s="111"/>
      <c r="AI1394" s="111"/>
      <c r="AJ1394" s="111"/>
      <c r="AK1394" s="111"/>
      <c r="AL1394" s="111"/>
      <c r="AM1394" s="111"/>
      <c r="AN1394" s="111"/>
      <c r="AO1394" s="111"/>
      <c r="AP1394" s="111"/>
      <c r="AQ1394" s="111"/>
      <c r="AR1394" s="111"/>
      <c r="AS1394" s="111"/>
      <c r="AT1394" s="111"/>
      <c r="AU1394" s="111"/>
      <c r="AV1394" s="50"/>
      <c r="AW1394" s="50"/>
      <c r="AX1394" s="50"/>
      <c r="AY1394" s="50"/>
      <c r="AZ1394" s="50"/>
      <c r="BA1394" s="50"/>
      <c r="BB1394" s="50"/>
      <c r="BC1394" s="50"/>
      <c r="BD1394" s="50"/>
      <c r="BE1394" s="50"/>
      <c r="BF1394" s="50"/>
      <c r="BG1394" s="50"/>
      <c r="BH1394" s="50"/>
      <c r="BI1394" s="50"/>
      <c r="BJ1394" s="50"/>
      <c r="BK1394" s="50"/>
      <c r="BL1394" s="50"/>
      <c r="BM1394" s="50"/>
      <c r="BN1394" s="50"/>
      <c r="BO1394" s="50"/>
      <c r="BP1394" s="50"/>
      <c r="BQ1394" s="50"/>
      <c r="BR1394" s="50"/>
      <c r="BS1394" s="111"/>
      <c r="BT1394" s="50"/>
      <c r="BU1394" s="50"/>
      <c r="BV1394" s="50"/>
      <c r="BW1394" s="50"/>
      <c r="BX1394" s="50"/>
      <c r="BY1394" s="50"/>
      <c r="BZ1394" s="50"/>
      <c r="CA1394" s="50"/>
      <c r="CB1394" s="50"/>
      <c r="CC1394" s="50"/>
      <c r="CD1394" s="50"/>
      <c r="CE1394" s="50"/>
      <c r="CF1394" s="50"/>
      <c r="CG1394" s="50"/>
      <c r="CH1394" s="50"/>
      <c r="CI1394" s="50"/>
      <c r="CJ1394" s="50"/>
      <c r="CK1394" s="50"/>
      <c r="CL1394" s="50"/>
      <c r="CM1394" s="50"/>
      <c r="CN1394" s="50"/>
      <c r="CO1394" s="50"/>
      <c r="CP1394" s="50"/>
      <c r="CQ1394" s="50"/>
      <c r="CR1394" s="50"/>
      <c r="CS1394" s="50"/>
    </row>
    <row r="1395" spans="1:97" ht="15" thickBot="1">
      <c r="A1395" s="49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111"/>
      <c r="O1395" s="111"/>
      <c r="P1395" s="111"/>
      <c r="Q1395" s="111"/>
      <c r="R1395" s="111"/>
      <c r="S1395" s="111"/>
      <c r="T1395" s="111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1"/>
      <c r="AF1395" s="111"/>
      <c r="AG1395" s="111"/>
      <c r="AH1395" s="111"/>
      <c r="AI1395" s="111"/>
      <c r="AJ1395" s="111"/>
      <c r="AK1395" s="111"/>
      <c r="AL1395" s="111"/>
      <c r="AM1395" s="111"/>
      <c r="AN1395" s="111"/>
      <c r="AO1395" s="111"/>
      <c r="AP1395" s="111"/>
      <c r="AQ1395" s="111"/>
      <c r="AR1395" s="111"/>
      <c r="AS1395" s="111"/>
      <c r="AT1395" s="111"/>
      <c r="AU1395" s="111"/>
      <c r="AV1395" s="50"/>
      <c r="AW1395" s="50"/>
      <c r="AX1395" s="50"/>
      <c r="AY1395" s="50"/>
      <c r="AZ1395" s="50"/>
      <c r="BA1395" s="50"/>
      <c r="BB1395" s="50"/>
      <c r="BC1395" s="50"/>
      <c r="BD1395" s="50"/>
      <c r="BE1395" s="50"/>
      <c r="BF1395" s="50"/>
      <c r="BG1395" s="50"/>
      <c r="BH1395" s="50"/>
      <c r="BI1395" s="50"/>
      <c r="BJ1395" s="50"/>
      <c r="BK1395" s="50"/>
      <c r="BL1395" s="50"/>
      <c r="BM1395" s="50"/>
      <c r="BN1395" s="50"/>
      <c r="BO1395" s="50"/>
      <c r="BP1395" s="50"/>
      <c r="BQ1395" s="50"/>
      <c r="BR1395" s="50"/>
      <c r="BS1395" s="111"/>
      <c r="BT1395" s="50"/>
      <c r="BU1395" s="50"/>
      <c r="BV1395" s="50"/>
      <c r="BW1395" s="50"/>
      <c r="BX1395" s="50"/>
      <c r="BY1395" s="50"/>
      <c r="BZ1395" s="50"/>
      <c r="CA1395" s="50"/>
      <c r="CB1395" s="50"/>
      <c r="CC1395" s="50"/>
      <c r="CD1395" s="50"/>
      <c r="CE1395" s="50"/>
      <c r="CF1395" s="50"/>
      <c r="CG1395" s="50"/>
      <c r="CH1395" s="50"/>
      <c r="CI1395" s="50"/>
      <c r="CJ1395" s="50"/>
      <c r="CK1395" s="50"/>
      <c r="CL1395" s="50"/>
      <c r="CM1395" s="50"/>
      <c r="CN1395" s="50"/>
      <c r="CO1395" s="50"/>
      <c r="CP1395" s="50"/>
      <c r="CQ1395" s="50"/>
      <c r="CR1395" s="50"/>
      <c r="CS1395" s="50"/>
    </row>
    <row r="1396" spans="1:97" ht="15" thickBot="1">
      <c r="A1396" s="49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111"/>
      <c r="O1396" s="111"/>
      <c r="P1396" s="111"/>
      <c r="Q1396" s="111"/>
      <c r="R1396" s="111"/>
      <c r="S1396" s="111"/>
      <c r="T1396" s="111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1"/>
      <c r="AF1396" s="111"/>
      <c r="AG1396" s="111"/>
      <c r="AH1396" s="111"/>
      <c r="AI1396" s="111"/>
      <c r="AJ1396" s="111"/>
      <c r="AK1396" s="111"/>
      <c r="AL1396" s="111"/>
      <c r="AM1396" s="111"/>
      <c r="AN1396" s="111"/>
      <c r="AO1396" s="111"/>
      <c r="AP1396" s="111"/>
      <c r="AQ1396" s="111"/>
      <c r="AR1396" s="111"/>
      <c r="AS1396" s="111"/>
      <c r="AT1396" s="111"/>
      <c r="AU1396" s="111"/>
      <c r="AV1396" s="50"/>
      <c r="AW1396" s="50"/>
      <c r="AX1396" s="50"/>
      <c r="AY1396" s="50"/>
      <c r="AZ1396" s="50"/>
      <c r="BA1396" s="50"/>
      <c r="BB1396" s="50"/>
      <c r="BC1396" s="50"/>
      <c r="BD1396" s="50"/>
      <c r="BE1396" s="50"/>
      <c r="BF1396" s="50"/>
      <c r="BG1396" s="50"/>
      <c r="BH1396" s="50"/>
      <c r="BI1396" s="50"/>
      <c r="BJ1396" s="50"/>
      <c r="BK1396" s="50"/>
      <c r="BL1396" s="50"/>
      <c r="BM1396" s="50"/>
      <c r="BN1396" s="50"/>
      <c r="BO1396" s="50"/>
      <c r="BP1396" s="50"/>
      <c r="BQ1396" s="50"/>
      <c r="BR1396" s="50"/>
      <c r="BS1396" s="111"/>
      <c r="BT1396" s="50"/>
      <c r="BU1396" s="50"/>
      <c r="BV1396" s="50"/>
      <c r="BW1396" s="50"/>
      <c r="BX1396" s="50"/>
      <c r="BY1396" s="50"/>
      <c r="BZ1396" s="50"/>
      <c r="CA1396" s="50"/>
      <c r="CB1396" s="50"/>
      <c r="CC1396" s="50"/>
      <c r="CD1396" s="50"/>
      <c r="CE1396" s="50"/>
      <c r="CF1396" s="50"/>
      <c r="CG1396" s="50"/>
      <c r="CH1396" s="50"/>
      <c r="CI1396" s="50"/>
      <c r="CJ1396" s="50"/>
      <c r="CK1396" s="50"/>
      <c r="CL1396" s="50"/>
      <c r="CM1396" s="50"/>
      <c r="CN1396" s="50"/>
      <c r="CO1396" s="50"/>
      <c r="CP1396" s="50"/>
      <c r="CQ1396" s="50"/>
      <c r="CR1396" s="50"/>
      <c r="CS1396" s="50"/>
    </row>
    <row r="1397" spans="1:97" ht="15" thickBot="1">
      <c r="A1397" s="49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111"/>
      <c r="O1397" s="111"/>
      <c r="P1397" s="111"/>
      <c r="Q1397" s="111"/>
      <c r="R1397" s="111"/>
      <c r="S1397" s="111"/>
      <c r="T1397" s="111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1"/>
      <c r="AF1397" s="111"/>
      <c r="AG1397" s="111"/>
      <c r="AH1397" s="111"/>
      <c r="AI1397" s="111"/>
      <c r="AJ1397" s="111"/>
      <c r="AK1397" s="111"/>
      <c r="AL1397" s="111"/>
      <c r="AM1397" s="111"/>
      <c r="AN1397" s="111"/>
      <c r="AO1397" s="111"/>
      <c r="AP1397" s="111"/>
      <c r="AQ1397" s="111"/>
      <c r="AR1397" s="111"/>
      <c r="AS1397" s="111"/>
      <c r="AT1397" s="111"/>
      <c r="AU1397" s="111"/>
      <c r="AV1397" s="50"/>
      <c r="AW1397" s="50"/>
      <c r="AX1397" s="50"/>
      <c r="AY1397" s="50"/>
      <c r="AZ1397" s="50"/>
      <c r="BA1397" s="50"/>
      <c r="BB1397" s="50"/>
      <c r="BC1397" s="50"/>
      <c r="BD1397" s="50"/>
      <c r="BE1397" s="50"/>
      <c r="BF1397" s="50"/>
      <c r="BG1397" s="50"/>
      <c r="BH1397" s="50"/>
      <c r="BI1397" s="50"/>
      <c r="BJ1397" s="50"/>
      <c r="BK1397" s="50"/>
      <c r="BL1397" s="50"/>
      <c r="BM1397" s="50"/>
      <c r="BN1397" s="50"/>
      <c r="BO1397" s="50"/>
      <c r="BP1397" s="50"/>
      <c r="BQ1397" s="50"/>
      <c r="BR1397" s="50"/>
      <c r="BS1397" s="111"/>
      <c r="BT1397" s="50"/>
      <c r="BU1397" s="50"/>
      <c r="BV1397" s="50"/>
      <c r="BW1397" s="50"/>
      <c r="BX1397" s="50"/>
      <c r="BY1397" s="50"/>
      <c r="BZ1397" s="50"/>
      <c r="CA1397" s="50"/>
      <c r="CB1397" s="50"/>
      <c r="CC1397" s="50"/>
      <c r="CD1397" s="50"/>
      <c r="CE1397" s="50"/>
      <c r="CF1397" s="50"/>
      <c r="CG1397" s="50"/>
      <c r="CH1397" s="50"/>
      <c r="CI1397" s="50"/>
      <c r="CJ1397" s="50"/>
      <c r="CK1397" s="50"/>
      <c r="CL1397" s="50"/>
      <c r="CM1397" s="50"/>
      <c r="CN1397" s="50"/>
      <c r="CO1397" s="50"/>
      <c r="CP1397" s="50"/>
      <c r="CQ1397" s="50"/>
      <c r="CR1397" s="50"/>
      <c r="CS1397" s="50"/>
    </row>
    <row r="1398" spans="1:97" ht="15" thickBot="1">
      <c r="A1398" s="49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111"/>
      <c r="O1398" s="111"/>
      <c r="P1398" s="111"/>
      <c r="Q1398" s="111"/>
      <c r="R1398" s="111"/>
      <c r="S1398" s="111"/>
      <c r="T1398" s="111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1"/>
      <c r="AF1398" s="111"/>
      <c r="AG1398" s="111"/>
      <c r="AH1398" s="111"/>
      <c r="AI1398" s="111"/>
      <c r="AJ1398" s="111"/>
      <c r="AK1398" s="111"/>
      <c r="AL1398" s="111"/>
      <c r="AM1398" s="111"/>
      <c r="AN1398" s="111"/>
      <c r="AO1398" s="111"/>
      <c r="AP1398" s="111"/>
      <c r="AQ1398" s="111"/>
      <c r="AR1398" s="111"/>
      <c r="AS1398" s="111"/>
      <c r="AT1398" s="111"/>
      <c r="AU1398" s="111"/>
      <c r="AV1398" s="50"/>
      <c r="AW1398" s="50"/>
      <c r="AX1398" s="50"/>
      <c r="AY1398" s="50"/>
      <c r="AZ1398" s="50"/>
      <c r="BA1398" s="50"/>
      <c r="BB1398" s="50"/>
      <c r="BC1398" s="50"/>
      <c r="BD1398" s="50"/>
      <c r="BE1398" s="50"/>
      <c r="BF1398" s="50"/>
      <c r="BG1398" s="50"/>
      <c r="BH1398" s="50"/>
      <c r="BI1398" s="50"/>
      <c r="BJ1398" s="50"/>
      <c r="BK1398" s="50"/>
      <c r="BL1398" s="50"/>
      <c r="BM1398" s="50"/>
      <c r="BN1398" s="50"/>
      <c r="BO1398" s="50"/>
      <c r="BP1398" s="50"/>
      <c r="BQ1398" s="50"/>
      <c r="BR1398" s="50"/>
      <c r="BS1398" s="111"/>
      <c r="BT1398" s="50"/>
      <c r="BU1398" s="50"/>
      <c r="BV1398" s="50"/>
      <c r="BW1398" s="50"/>
      <c r="BX1398" s="50"/>
      <c r="BY1398" s="50"/>
      <c r="BZ1398" s="50"/>
      <c r="CA1398" s="50"/>
      <c r="CB1398" s="50"/>
      <c r="CC1398" s="50"/>
      <c r="CD1398" s="50"/>
      <c r="CE1398" s="50"/>
      <c r="CF1398" s="50"/>
      <c r="CG1398" s="50"/>
      <c r="CH1398" s="50"/>
      <c r="CI1398" s="50"/>
      <c r="CJ1398" s="50"/>
      <c r="CK1398" s="50"/>
      <c r="CL1398" s="50"/>
      <c r="CM1398" s="50"/>
      <c r="CN1398" s="50"/>
      <c r="CO1398" s="50"/>
      <c r="CP1398" s="50"/>
      <c r="CQ1398" s="50"/>
      <c r="CR1398" s="50"/>
      <c r="CS1398" s="50"/>
    </row>
    <row r="1399" spans="1:97" ht="15" thickBot="1">
      <c r="A1399" s="49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111"/>
      <c r="O1399" s="111"/>
      <c r="P1399" s="111"/>
      <c r="Q1399" s="111"/>
      <c r="R1399" s="111"/>
      <c r="S1399" s="111"/>
      <c r="T1399" s="111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1"/>
      <c r="AF1399" s="111"/>
      <c r="AG1399" s="111"/>
      <c r="AH1399" s="111"/>
      <c r="AI1399" s="111"/>
      <c r="AJ1399" s="111"/>
      <c r="AK1399" s="111"/>
      <c r="AL1399" s="111"/>
      <c r="AM1399" s="111"/>
      <c r="AN1399" s="111"/>
      <c r="AO1399" s="111"/>
      <c r="AP1399" s="111"/>
      <c r="AQ1399" s="111"/>
      <c r="AR1399" s="111"/>
      <c r="AS1399" s="111"/>
      <c r="AT1399" s="111"/>
      <c r="AU1399" s="111"/>
      <c r="AV1399" s="50"/>
      <c r="AW1399" s="50"/>
      <c r="AX1399" s="50"/>
      <c r="AY1399" s="50"/>
      <c r="AZ1399" s="50"/>
      <c r="BA1399" s="50"/>
      <c r="BB1399" s="50"/>
      <c r="BC1399" s="50"/>
      <c r="BD1399" s="50"/>
      <c r="BE1399" s="50"/>
      <c r="BF1399" s="50"/>
      <c r="BG1399" s="50"/>
      <c r="BH1399" s="50"/>
      <c r="BI1399" s="50"/>
      <c r="BJ1399" s="50"/>
      <c r="BK1399" s="50"/>
      <c r="BL1399" s="50"/>
      <c r="BM1399" s="50"/>
      <c r="BN1399" s="50"/>
      <c r="BO1399" s="50"/>
      <c r="BP1399" s="50"/>
      <c r="BQ1399" s="50"/>
      <c r="BR1399" s="50"/>
      <c r="BS1399" s="111"/>
      <c r="BT1399" s="50"/>
      <c r="BU1399" s="50"/>
      <c r="BV1399" s="50"/>
      <c r="BW1399" s="50"/>
      <c r="BX1399" s="50"/>
      <c r="BY1399" s="50"/>
      <c r="BZ1399" s="50"/>
      <c r="CA1399" s="50"/>
      <c r="CB1399" s="50"/>
      <c r="CC1399" s="50"/>
      <c r="CD1399" s="50"/>
      <c r="CE1399" s="50"/>
      <c r="CF1399" s="50"/>
      <c r="CG1399" s="50"/>
      <c r="CH1399" s="50"/>
      <c r="CI1399" s="50"/>
      <c r="CJ1399" s="50"/>
      <c r="CK1399" s="50"/>
      <c r="CL1399" s="50"/>
      <c r="CM1399" s="50"/>
      <c r="CN1399" s="50"/>
      <c r="CO1399" s="50"/>
      <c r="CP1399" s="50"/>
      <c r="CQ1399" s="50"/>
      <c r="CR1399" s="50"/>
      <c r="CS1399" s="50"/>
    </row>
    <row r="1400" spans="1:97" ht="15" thickBot="1">
      <c r="A1400" s="49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111"/>
      <c r="O1400" s="111"/>
      <c r="P1400" s="111"/>
      <c r="Q1400" s="111"/>
      <c r="R1400" s="111"/>
      <c r="S1400" s="111"/>
      <c r="T1400" s="111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1"/>
      <c r="AF1400" s="111"/>
      <c r="AG1400" s="111"/>
      <c r="AH1400" s="111"/>
      <c r="AI1400" s="111"/>
      <c r="AJ1400" s="111"/>
      <c r="AK1400" s="111"/>
      <c r="AL1400" s="111"/>
      <c r="AM1400" s="111"/>
      <c r="AN1400" s="111"/>
      <c r="AO1400" s="111"/>
      <c r="AP1400" s="111"/>
      <c r="AQ1400" s="111"/>
      <c r="AR1400" s="111"/>
      <c r="AS1400" s="111"/>
      <c r="AT1400" s="111"/>
      <c r="AU1400" s="111"/>
      <c r="AV1400" s="50"/>
      <c r="AW1400" s="50"/>
      <c r="AX1400" s="50"/>
      <c r="AY1400" s="50"/>
      <c r="AZ1400" s="50"/>
      <c r="BA1400" s="50"/>
      <c r="BB1400" s="50"/>
      <c r="BC1400" s="50"/>
      <c r="BD1400" s="50"/>
      <c r="BE1400" s="50"/>
      <c r="BF1400" s="50"/>
      <c r="BG1400" s="50"/>
      <c r="BH1400" s="50"/>
      <c r="BI1400" s="50"/>
      <c r="BJ1400" s="50"/>
      <c r="BK1400" s="50"/>
      <c r="BL1400" s="50"/>
      <c r="BM1400" s="50"/>
      <c r="BN1400" s="50"/>
      <c r="BO1400" s="50"/>
      <c r="BP1400" s="50"/>
      <c r="BQ1400" s="50"/>
      <c r="BR1400" s="50"/>
      <c r="BS1400" s="111"/>
      <c r="BT1400" s="50"/>
      <c r="BU1400" s="50"/>
      <c r="BV1400" s="50"/>
      <c r="BW1400" s="50"/>
      <c r="BX1400" s="50"/>
      <c r="BY1400" s="50"/>
      <c r="BZ1400" s="50"/>
      <c r="CA1400" s="50"/>
      <c r="CB1400" s="50"/>
      <c r="CC1400" s="50"/>
      <c r="CD1400" s="50"/>
      <c r="CE1400" s="50"/>
      <c r="CF1400" s="50"/>
      <c r="CG1400" s="50"/>
      <c r="CH1400" s="50"/>
      <c r="CI1400" s="50"/>
      <c r="CJ1400" s="50"/>
      <c r="CK1400" s="50"/>
      <c r="CL1400" s="50"/>
      <c r="CM1400" s="50"/>
      <c r="CN1400" s="50"/>
      <c r="CO1400" s="50"/>
      <c r="CP1400" s="50"/>
      <c r="CQ1400" s="50"/>
      <c r="CR1400" s="50"/>
      <c r="CS1400" s="50"/>
    </row>
    <row r="1401" spans="1:97" ht="15" thickBot="1">
      <c r="A1401" s="49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111"/>
      <c r="O1401" s="111"/>
      <c r="P1401" s="111"/>
      <c r="Q1401" s="111"/>
      <c r="R1401" s="111"/>
      <c r="S1401" s="111"/>
      <c r="T1401" s="111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1"/>
      <c r="AF1401" s="111"/>
      <c r="AG1401" s="111"/>
      <c r="AH1401" s="111"/>
      <c r="AI1401" s="111"/>
      <c r="AJ1401" s="111"/>
      <c r="AK1401" s="111"/>
      <c r="AL1401" s="111"/>
      <c r="AM1401" s="111"/>
      <c r="AN1401" s="111"/>
      <c r="AO1401" s="111"/>
      <c r="AP1401" s="111"/>
      <c r="AQ1401" s="111"/>
      <c r="AR1401" s="111"/>
      <c r="AS1401" s="111"/>
      <c r="AT1401" s="111"/>
      <c r="AU1401" s="111"/>
      <c r="AV1401" s="50"/>
      <c r="AW1401" s="50"/>
      <c r="AX1401" s="50"/>
      <c r="AY1401" s="50"/>
      <c r="AZ1401" s="50"/>
      <c r="BA1401" s="50"/>
      <c r="BB1401" s="50"/>
      <c r="BC1401" s="50"/>
      <c r="BD1401" s="50"/>
      <c r="BE1401" s="50"/>
      <c r="BF1401" s="50"/>
      <c r="BG1401" s="50"/>
      <c r="BH1401" s="50"/>
      <c r="BI1401" s="50"/>
      <c r="BJ1401" s="50"/>
      <c r="BK1401" s="50"/>
      <c r="BL1401" s="50"/>
      <c r="BM1401" s="50"/>
      <c r="BN1401" s="50"/>
      <c r="BO1401" s="50"/>
      <c r="BP1401" s="50"/>
      <c r="BQ1401" s="50"/>
      <c r="BR1401" s="50"/>
      <c r="BS1401" s="111"/>
      <c r="BT1401" s="50"/>
      <c r="BU1401" s="50"/>
      <c r="BV1401" s="50"/>
      <c r="BW1401" s="50"/>
      <c r="BX1401" s="50"/>
      <c r="BY1401" s="50"/>
      <c r="BZ1401" s="50"/>
      <c r="CA1401" s="50"/>
      <c r="CB1401" s="50"/>
      <c r="CC1401" s="50"/>
      <c r="CD1401" s="50"/>
      <c r="CE1401" s="50"/>
      <c r="CF1401" s="50"/>
      <c r="CG1401" s="50"/>
      <c r="CH1401" s="50"/>
      <c r="CI1401" s="50"/>
      <c r="CJ1401" s="50"/>
      <c r="CK1401" s="50"/>
      <c r="CL1401" s="50"/>
      <c r="CM1401" s="50"/>
      <c r="CN1401" s="50"/>
      <c r="CO1401" s="50"/>
      <c r="CP1401" s="50"/>
      <c r="CQ1401" s="50"/>
      <c r="CR1401" s="50"/>
      <c r="CS1401" s="50"/>
    </row>
    <row r="1402" spans="1:97" ht="15" thickBot="1">
      <c r="A1402" s="49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111"/>
      <c r="O1402" s="111"/>
      <c r="P1402" s="111"/>
      <c r="Q1402" s="111"/>
      <c r="R1402" s="111"/>
      <c r="S1402" s="111"/>
      <c r="T1402" s="111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1"/>
      <c r="AF1402" s="111"/>
      <c r="AG1402" s="111"/>
      <c r="AH1402" s="111"/>
      <c r="AI1402" s="111"/>
      <c r="AJ1402" s="111"/>
      <c r="AK1402" s="111"/>
      <c r="AL1402" s="111"/>
      <c r="AM1402" s="111"/>
      <c r="AN1402" s="111"/>
      <c r="AO1402" s="111"/>
      <c r="AP1402" s="111"/>
      <c r="AQ1402" s="111"/>
      <c r="AR1402" s="111"/>
      <c r="AS1402" s="111"/>
      <c r="AT1402" s="111"/>
      <c r="AU1402" s="111"/>
      <c r="AV1402" s="50"/>
      <c r="AW1402" s="50"/>
      <c r="AX1402" s="50"/>
      <c r="AY1402" s="50"/>
      <c r="AZ1402" s="50"/>
      <c r="BA1402" s="50"/>
      <c r="BB1402" s="50"/>
      <c r="BC1402" s="50"/>
      <c r="BD1402" s="50"/>
      <c r="BE1402" s="50"/>
      <c r="BF1402" s="50"/>
      <c r="BG1402" s="50"/>
      <c r="BH1402" s="50"/>
      <c r="BI1402" s="50"/>
      <c r="BJ1402" s="50"/>
      <c r="BK1402" s="50"/>
      <c r="BL1402" s="50"/>
      <c r="BM1402" s="50"/>
      <c r="BN1402" s="50"/>
      <c r="BO1402" s="50"/>
      <c r="BP1402" s="50"/>
      <c r="BQ1402" s="50"/>
      <c r="BR1402" s="50"/>
      <c r="BS1402" s="111"/>
      <c r="BT1402" s="50"/>
      <c r="BU1402" s="50"/>
      <c r="BV1402" s="50"/>
      <c r="BW1402" s="50"/>
      <c r="BX1402" s="50"/>
      <c r="BY1402" s="50"/>
      <c r="BZ1402" s="50"/>
      <c r="CA1402" s="50"/>
      <c r="CB1402" s="50"/>
      <c r="CC1402" s="50"/>
      <c r="CD1402" s="50"/>
      <c r="CE1402" s="50"/>
      <c r="CF1402" s="50"/>
      <c r="CG1402" s="50"/>
      <c r="CH1402" s="50"/>
      <c r="CI1402" s="50"/>
      <c r="CJ1402" s="50"/>
      <c r="CK1402" s="50"/>
      <c r="CL1402" s="50"/>
      <c r="CM1402" s="50"/>
      <c r="CN1402" s="50"/>
      <c r="CO1402" s="50"/>
      <c r="CP1402" s="50"/>
      <c r="CQ1402" s="50"/>
      <c r="CR1402" s="50"/>
      <c r="CS1402" s="50"/>
    </row>
    <row r="1403" spans="1:97" ht="15" thickBot="1">
      <c r="A1403" s="49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111"/>
      <c r="O1403" s="111"/>
      <c r="P1403" s="111"/>
      <c r="Q1403" s="111"/>
      <c r="R1403" s="111"/>
      <c r="S1403" s="111"/>
      <c r="T1403" s="111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1"/>
      <c r="AF1403" s="111"/>
      <c r="AG1403" s="111"/>
      <c r="AH1403" s="111"/>
      <c r="AI1403" s="111"/>
      <c r="AJ1403" s="111"/>
      <c r="AK1403" s="111"/>
      <c r="AL1403" s="111"/>
      <c r="AM1403" s="111"/>
      <c r="AN1403" s="111"/>
      <c r="AO1403" s="111"/>
      <c r="AP1403" s="111"/>
      <c r="AQ1403" s="111"/>
      <c r="AR1403" s="111"/>
      <c r="AS1403" s="111"/>
      <c r="AT1403" s="111"/>
      <c r="AU1403" s="111"/>
      <c r="AV1403" s="50"/>
      <c r="AW1403" s="50"/>
      <c r="AX1403" s="50"/>
      <c r="AY1403" s="50"/>
      <c r="AZ1403" s="50"/>
      <c r="BA1403" s="50"/>
      <c r="BB1403" s="50"/>
      <c r="BC1403" s="50"/>
      <c r="BD1403" s="50"/>
      <c r="BE1403" s="50"/>
      <c r="BF1403" s="50"/>
      <c r="BG1403" s="50"/>
      <c r="BH1403" s="50"/>
      <c r="BI1403" s="50"/>
      <c r="BJ1403" s="50"/>
      <c r="BK1403" s="50"/>
      <c r="BL1403" s="50"/>
      <c r="BM1403" s="50"/>
      <c r="BN1403" s="50"/>
      <c r="BO1403" s="50"/>
      <c r="BP1403" s="50"/>
      <c r="BQ1403" s="50"/>
      <c r="BR1403" s="50"/>
      <c r="BS1403" s="111"/>
      <c r="BT1403" s="50"/>
      <c r="BU1403" s="50"/>
      <c r="BV1403" s="50"/>
      <c r="BW1403" s="50"/>
      <c r="BX1403" s="50"/>
      <c r="BY1403" s="50"/>
      <c r="BZ1403" s="50"/>
      <c r="CA1403" s="50"/>
      <c r="CB1403" s="50"/>
      <c r="CC1403" s="50"/>
      <c r="CD1403" s="50"/>
      <c r="CE1403" s="50"/>
      <c r="CF1403" s="50"/>
      <c r="CG1403" s="50"/>
      <c r="CH1403" s="50"/>
      <c r="CI1403" s="50"/>
      <c r="CJ1403" s="50"/>
      <c r="CK1403" s="50"/>
      <c r="CL1403" s="50"/>
      <c r="CM1403" s="50"/>
      <c r="CN1403" s="50"/>
      <c r="CO1403" s="50"/>
      <c r="CP1403" s="50"/>
      <c r="CQ1403" s="50"/>
      <c r="CR1403" s="50"/>
      <c r="CS1403" s="50"/>
    </row>
    <row r="1404" spans="1:97" ht="15" thickBot="1">
      <c r="A1404" s="49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111"/>
      <c r="O1404" s="111"/>
      <c r="P1404" s="111"/>
      <c r="Q1404" s="111"/>
      <c r="R1404" s="111"/>
      <c r="S1404" s="111"/>
      <c r="T1404" s="111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1"/>
      <c r="AF1404" s="111"/>
      <c r="AG1404" s="111"/>
      <c r="AH1404" s="111"/>
      <c r="AI1404" s="111"/>
      <c r="AJ1404" s="111"/>
      <c r="AK1404" s="111"/>
      <c r="AL1404" s="111"/>
      <c r="AM1404" s="111"/>
      <c r="AN1404" s="111"/>
      <c r="AO1404" s="111"/>
      <c r="AP1404" s="111"/>
      <c r="AQ1404" s="111"/>
      <c r="AR1404" s="111"/>
      <c r="AS1404" s="111"/>
      <c r="AT1404" s="111"/>
      <c r="AU1404" s="111"/>
      <c r="AV1404" s="50"/>
      <c r="AW1404" s="50"/>
      <c r="AX1404" s="50"/>
      <c r="AY1404" s="50"/>
      <c r="AZ1404" s="50"/>
      <c r="BA1404" s="50"/>
      <c r="BB1404" s="50"/>
      <c r="BC1404" s="50"/>
      <c r="BD1404" s="50"/>
      <c r="BE1404" s="50"/>
      <c r="BF1404" s="50"/>
      <c r="BG1404" s="50"/>
      <c r="BH1404" s="50"/>
      <c r="BI1404" s="50"/>
      <c r="BJ1404" s="50"/>
      <c r="BK1404" s="50"/>
      <c r="BL1404" s="50"/>
      <c r="BM1404" s="50"/>
      <c r="BN1404" s="50"/>
      <c r="BO1404" s="50"/>
      <c r="BP1404" s="50"/>
      <c r="BQ1404" s="50"/>
      <c r="BR1404" s="50"/>
      <c r="BS1404" s="111"/>
      <c r="BT1404" s="50"/>
      <c r="BU1404" s="50"/>
      <c r="BV1404" s="50"/>
      <c r="BW1404" s="50"/>
      <c r="BX1404" s="50"/>
      <c r="BY1404" s="50"/>
      <c r="BZ1404" s="50"/>
      <c r="CA1404" s="50"/>
      <c r="CB1404" s="50"/>
      <c r="CC1404" s="50"/>
      <c r="CD1404" s="50"/>
      <c r="CE1404" s="50"/>
      <c r="CF1404" s="50"/>
      <c r="CG1404" s="50"/>
      <c r="CH1404" s="50"/>
      <c r="CI1404" s="50"/>
      <c r="CJ1404" s="50"/>
      <c r="CK1404" s="50"/>
      <c r="CL1404" s="50"/>
      <c r="CM1404" s="50"/>
      <c r="CN1404" s="50"/>
      <c r="CO1404" s="50"/>
      <c r="CP1404" s="50"/>
      <c r="CQ1404" s="50"/>
      <c r="CR1404" s="50"/>
      <c r="CS1404" s="50"/>
    </row>
    <row r="1405" spans="1:97" ht="15" thickBot="1">
      <c r="A1405" s="49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111"/>
      <c r="O1405" s="111"/>
      <c r="P1405" s="111"/>
      <c r="Q1405" s="111"/>
      <c r="R1405" s="111"/>
      <c r="S1405" s="111"/>
      <c r="T1405" s="111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1"/>
      <c r="AF1405" s="111"/>
      <c r="AG1405" s="111"/>
      <c r="AH1405" s="111"/>
      <c r="AI1405" s="111"/>
      <c r="AJ1405" s="111"/>
      <c r="AK1405" s="111"/>
      <c r="AL1405" s="111"/>
      <c r="AM1405" s="111"/>
      <c r="AN1405" s="111"/>
      <c r="AO1405" s="111"/>
      <c r="AP1405" s="111"/>
      <c r="AQ1405" s="111"/>
      <c r="AR1405" s="111"/>
      <c r="AS1405" s="111"/>
      <c r="AT1405" s="111"/>
      <c r="AU1405" s="111"/>
      <c r="AV1405" s="50"/>
      <c r="AW1405" s="50"/>
      <c r="AX1405" s="50"/>
      <c r="AY1405" s="50"/>
      <c r="AZ1405" s="50"/>
      <c r="BA1405" s="50"/>
      <c r="BB1405" s="50"/>
      <c r="BC1405" s="50"/>
      <c r="BD1405" s="50"/>
      <c r="BE1405" s="50"/>
      <c r="BF1405" s="50"/>
      <c r="BG1405" s="50"/>
      <c r="BH1405" s="50"/>
      <c r="BI1405" s="50"/>
      <c r="BJ1405" s="50"/>
      <c r="BK1405" s="50"/>
      <c r="BL1405" s="50"/>
      <c r="BM1405" s="50"/>
      <c r="BN1405" s="50"/>
      <c r="BO1405" s="50"/>
      <c r="BP1405" s="50"/>
      <c r="BQ1405" s="50"/>
      <c r="BR1405" s="50"/>
      <c r="BS1405" s="111"/>
      <c r="BT1405" s="50"/>
      <c r="BU1405" s="50"/>
      <c r="BV1405" s="50"/>
      <c r="BW1405" s="50"/>
      <c r="BX1405" s="50"/>
      <c r="BY1405" s="50"/>
      <c r="BZ1405" s="50"/>
      <c r="CA1405" s="50"/>
      <c r="CB1405" s="50"/>
      <c r="CC1405" s="50"/>
      <c r="CD1405" s="50"/>
      <c r="CE1405" s="50"/>
      <c r="CF1405" s="50"/>
      <c r="CG1405" s="50"/>
      <c r="CH1405" s="50"/>
      <c r="CI1405" s="50"/>
      <c r="CJ1405" s="50"/>
      <c r="CK1405" s="50"/>
      <c r="CL1405" s="50"/>
      <c r="CM1405" s="50"/>
      <c r="CN1405" s="50"/>
      <c r="CO1405" s="50"/>
      <c r="CP1405" s="50"/>
      <c r="CQ1405" s="50"/>
      <c r="CR1405" s="50"/>
      <c r="CS1405" s="50"/>
    </row>
    <row r="1406" spans="1:97" ht="15" thickBot="1">
      <c r="A1406" s="49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111"/>
      <c r="O1406" s="111"/>
      <c r="P1406" s="111"/>
      <c r="Q1406" s="111"/>
      <c r="R1406" s="111"/>
      <c r="S1406" s="111"/>
      <c r="T1406" s="111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1"/>
      <c r="AF1406" s="111"/>
      <c r="AG1406" s="111"/>
      <c r="AH1406" s="111"/>
      <c r="AI1406" s="111"/>
      <c r="AJ1406" s="111"/>
      <c r="AK1406" s="111"/>
      <c r="AL1406" s="111"/>
      <c r="AM1406" s="111"/>
      <c r="AN1406" s="111"/>
      <c r="AO1406" s="111"/>
      <c r="AP1406" s="111"/>
      <c r="AQ1406" s="111"/>
      <c r="AR1406" s="111"/>
      <c r="AS1406" s="111"/>
      <c r="AT1406" s="111"/>
      <c r="AU1406" s="111"/>
      <c r="AV1406" s="50"/>
      <c r="AW1406" s="50"/>
      <c r="AX1406" s="50"/>
      <c r="AY1406" s="50"/>
      <c r="AZ1406" s="50"/>
      <c r="BA1406" s="50"/>
      <c r="BB1406" s="50"/>
      <c r="BC1406" s="50"/>
      <c r="BD1406" s="50"/>
      <c r="BE1406" s="50"/>
      <c r="BF1406" s="50"/>
      <c r="BG1406" s="50"/>
      <c r="BH1406" s="50"/>
      <c r="BI1406" s="50"/>
      <c r="BJ1406" s="50"/>
      <c r="BK1406" s="50"/>
      <c r="BL1406" s="50"/>
      <c r="BM1406" s="50"/>
      <c r="BN1406" s="50"/>
      <c r="BO1406" s="50"/>
      <c r="BP1406" s="50"/>
      <c r="BQ1406" s="50"/>
      <c r="BR1406" s="50"/>
      <c r="BS1406" s="111"/>
      <c r="BT1406" s="50"/>
      <c r="BU1406" s="50"/>
      <c r="BV1406" s="50"/>
      <c r="BW1406" s="50"/>
      <c r="BX1406" s="50"/>
      <c r="BY1406" s="50"/>
      <c r="BZ1406" s="50"/>
      <c r="CA1406" s="50"/>
      <c r="CB1406" s="50"/>
      <c r="CC1406" s="50"/>
      <c r="CD1406" s="50"/>
      <c r="CE1406" s="50"/>
      <c r="CF1406" s="50"/>
      <c r="CG1406" s="50"/>
      <c r="CH1406" s="50"/>
      <c r="CI1406" s="50"/>
      <c r="CJ1406" s="50"/>
      <c r="CK1406" s="50"/>
      <c r="CL1406" s="50"/>
      <c r="CM1406" s="50"/>
      <c r="CN1406" s="50"/>
      <c r="CO1406" s="50"/>
      <c r="CP1406" s="50"/>
      <c r="CQ1406" s="50"/>
      <c r="CR1406" s="50"/>
      <c r="CS1406" s="50"/>
    </row>
    <row r="1407" spans="1:97" ht="15" thickBot="1">
      <c r="A1407" s="49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111"/>
      <c r="O1407" s="111"/>
      <c r="P1407" s="111"/>
      <c r="Q1407" s="111"/>
      <c r="R1407" s="111"/>
      <c r="S1407" s="111"/>
      <c r="T1407" s="111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1"/>
      <c r="AF1407" s="111"/>
      <c r="AG1407" s="111"/>
      <c r="AH1407" s="111"/>
      <c r="AI1407" s="111"/>
      <c r="AJ1407" s="111"/>
      <c r="AK1407" s="111"/>
      <c r="AL1407" s="111"/>
      <c r="AM1407" s="111"/>
      <c r="AN1407" s="111"/>
      <c r="AO1407" s="111"/>
      <c r="AP1407" s="111"/>
      <c r="AQ1407" s="111"/>
      <c r="AR1407" s="111"/>
      <c r="AS1407" s="111"/>
      <c r="AT1407" s="111"/>
      <c r="AU1407" s="111"/>
      <c r="AV1407" s="50"/>
      <c r="AW1407" s="50"/>
      <c r="AX1407" s="50"/>
      <c r="AY1407" s="50"/>
      <c r="AZ1407" s="50"/>
      <c r="BA1407" s="50"/>
      <c r="BB1407" s="50"/>
      <c r="BC1407" s="50"/>
      <c r="BD1407" s="50"/>
      <c r="BE1407" s="50"/>
      <c r="BF1407" s="50"/>
      <c r="BG1407" s="50"/>
      <c r="BH1407" s="50"/>
      <c r="BI1407" s="50"/>
      <c r="BJ1407" s="50"/>
      <c r="BK1407" s="50"/>
      <c r="BL1407" s="50"/>
      <c r="BM1407" s="50"/>
      <c r="BN1407" s="50"/>
      <c r="BO1407" s="50"/>
      <c r="BP1407" s="50"/>
      <c r="BQ1407" s="50"/>
      <c r="BR1407" s="50"/>
      <c r="BS1407" s="111"/>
      <c r="BT1407" s="50"/>
      <c r="BU1407" s="50"/>
      <c r="BV1407" s="50"/>
      <c r="BW1407" s="50"/>
      <c r="BX1407" s="50"/>
      <c r="BY1407" s="50"/>
      <c r="BZ1407" s="50"/>
      <c r="CA1407" s="50"/>
      <c r="CB1407" s="50"/>
      <c r="CC1407" s="50"/>
      <c r="CD1407" s="50"/>
      <c r="CE1407" s="50"/>
      <c r="CF1407" s="50"/>
      <c r="CG1407" s="50"/>
      <c r="CH1407" s="50"/>
      <c r="CI1407" s="50"/>
      <c r="CJ1407" s="50"/>
      <c r="CK1407" s="50"/>
      <c r="CL1407" s="50"/>
      <c r="CM1407" s="50"/>
      <c r="CN1407" s="50"/>
      <c r="CO1407" s="50"/>
      <c r="CP1407" s="50"/>
      <c r="CQ1407" s="50"/>
      <c r="CR1407" s="50"/>
      <c r="CS1407" s="50"/>
    </row>
    <row r="1408" spans="1:97" ht="15" thickBot="1">
      <c r="A1408" s="49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111"/>
      <c r="O1408" s="111"/>
      <c r="P1408" s="111"/>
      <c r="Q1408" s="111"/>
      <c r="R1408" s="111"/>
      <c r="S1408" s="111"/>
      <c r="T1408" s="111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1"/>
      <c r="AF1408" s="111"/>
      <c r="AG1408" s="111"/>
      <c r="AH1408" s="111"/>
      <c r="AI1408" s="111"/>
      <c r="AJ1408" s="111"/>
      <c r="AK1408" s="111"/>
      <c r="AL1408" s="111"/>
      <c r="AM1408" s="111"/>
      <c r="AN1408" s="111"/>
      <c r="AO1408" s="111"/>
      <c r="AP1408" s="111"/>
      <c r="AQ1408" s="111"/>
      <c r="AR1408" s="111"/>
      <c r="AS1408" s="111"/>
      <c r="AT1408" s="111"/>
      <c r="AU1408" s="111"/>
      <c r="AV1408" s="50"/>
      <c r="AW1408" s="50"/>
      <c r="AX1408" s="50"/>
      <c r="AY1408" s="50"/>
      <c r="AZ1408" s="50"/>
      <c r="BA1408" s="50"/>
      <c r="BB1408" s="50"/>
      <c r="BC1408" s="50"/>
      <c r="BD1408" s="50"/>
      <c r="BE1408" s="50"/>
      <c r="BF1408" s="50"/>
      <c r="BG1408" s="50"/>
      <c r="BH1408" s="50"/>
      <c r="BI1408" s="50"/>
      <c r="BJ1408" s="50"/>
      <c r="BK1408" s="50"/>
      <c r="BL1408" s="50"/>
      <c r="BM1408" s="50"/>
      <c r="BN1408" s="50"/>
      <c r="BO1408" s="50"/>
      <c r="BP1408" s="50"/>
      <c r="BQ1408" s="50"/>
      <c r="BR1408" s="50"/>
      <c r="BS1408" s="111"/>
      <c r="BT1408" s="50"/>
      <c r="BU1408" s="50"/>
      <c r="BV1408" s="50"/>
      <c r="BW1408" s="50"/>
      <c r="BX1408" s="50"/>
      <c r="BY1408" s="50"/>
      <c r="BZ1408" s="50"/>
      <c r="CA1408" s="50"/>
      <c r="CB1408" s="50"/>
      <c r="CC1408" s="50"/>
      <c r="CD1408" s="50"/>
      <c r="CE1408" s="50"/>
      <c r="CF1408" s="50"/>
      <c r="CG1408" s="50"/>
      <c r="CH1408" s="50"/>
      <c r="CI1408" s="50"/>
      <c r="CJ1408" s="50"/>
      <c r="CK1408" s="50"/>
      <c r="CL1408" s="50"/>
      <c r="CM1408" s="50"/>
      <c r="CN1408" s="50"/>
      <c r="CO1408" s="50"/>
      <c r="CP1408" s="50"/>
      <c r="CQ1408" s="50"/>
      <c r="CR1408" s="50"/>
      <c r="CS1408" s="50"/>
    </row>
    <row r="1409" spans="1:97" ht="15" thickBot="1">
      <c r="A1409" s="49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111"/>
      <c r="O1409" s="111"/>
      <c r="P1409" s="111"/>
      <c r="Q1409" s="111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1"/>
      <c r="AF1409" s="111"/>
      <c r="AG1409" s="111"/>
      <c r="AH1409" s="111"/>
      <c r="AI1409" s="111"/>
      <c r="AJ1409" s="111"/>
      <c r="AK1409" s="111"/>
      <c r="AL1409" s="111"/>
      <c r="AM1409" s="111"/>
      <c r="AN1409" s="111"/>
      <c r="AO1409" s="111"/>
      <c r="AP1409" s="111"/>
      <c r="AQ1409" s="111"/>
      <c r="AR1409" s="111"/>
      <c r="AS1409" s="111"/>
      <c r="AT1409" s="111"/>
      <c r="AU1409" s="111"/>
      <c r="AV1409" s="50"/>
      <c r="AW1409" s="50"/>
      <c r="AX1409" s="50"/>
      <c r="AY1409" s="50"/>
      <c r="AZ1409" s="50"/>
      <c r="BA1409" s="50"/>
      <c r="BB1409" s="50"/>
      <c r="BC1409" s="50"/>
      <c r="BD1409" s="50"/>
      <c r="BE1409" s="50"/>
      <c r="BF1409" s="50"/>
      <c r="BG1409" s="50"/>
      <c r="BH1409" s="50"/>
      <c r="BI1409" s="50"/>
      <c r="BJ1409" s="50"/>
      <c r="BK1409" s="50"/>
      <c r="BL1409" s="50"/>
      <c r="BM1409" s="50"/>
      <c r="BN1409" s="50"/>
      <c r="BO1409" s="50"/>
      <c r="BP1409" s="50"/>
      <c r="BQ1409" s="50"/>
      <c r="BR1409" s="50"/>
      <c r="BS1409" s="111"/>
      <c r="BT1409" s="50"/>
      <c r="BU1409" s="50"/>
      <c r="BV1409" s="50"/>
      <c r="BW1409" s="50"/>
      <c r="BX1409" s="50"/>
      <c r="BY1409" s="50"/>
      <c r="BZ1409" s="50"/>
      <c r="CA1409" s="50"/>
      <c r="CB1409" s="50"/>
      <c r="CC1409" s="50"/>
      <c r="CD1409" s="50"/>
      <c r="CE1409" s="50"/>
      <c r="CF1409" s="50"/>
      <c r="CG1409" s="50"/>
      <c r="CH1409" s="50"/>
      <c r="CI1409" s="50"/>
      <c r="CJ1409" s="50"/>
      <c r="CK1409" s="50"/>
      <c r="CL1409" s="50"/>
      <c r="CM1409" s="50"/>
      <c r="CN1409" s="50"/>
      <c r="CO1409" s="50"/>
      <c r="CP1409" s="50"/>
      <c r="CQ1409" s="50"/>
      <c r="CR1409" s="50"/>
      <c r="CS1409" s="50"/>
    </row>
    <row r="1410" spans="1:97" ht="15" thickBot="1">
      <c r="A1410" s="49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111"/>
      <c r="O1410" s="111"/>
      <c r="P1410" s="111"/>
      <c r="Q1410" s="111"/>
      <c r="R1410" s="111"/>
      <c r="S1410" s="111"/>
      <c r="T1410" s="111"/>
      <c r="U1410" s="111"/>
      <c r="V1410" s="111"/>
      <c r="W1410" s="111"/>
      <c r="X1410" s="111"/>
      <c r="Y1410" s="111"/>
      <c r="Z1410" s="111"/>
      <c r="AA1410" s="111"/>
      <c r="AB1410" s="111"/>
      <c r="AC1410" s="111"/>
      <c r="AD1410" s="111"/>
      <c r="AE1410" s="111"/>
      <c r="AF1410" s="111"/>
      <c r="AG1410" s="111"/>
      <c r="AH1410" s="111"/>
      <c r="AI1410" s="111"/>
      <c r="AJ1410" s="111"/>
      <c r="AK1410" s="111"/>
      <c r="AL1410" s="111"/>
      <c r="AM1410" s="111"/>
      <c r="AN1410" s="111"/>
      <c r="AO1410" s="111"/>
      <c r="AP1410" s="111"/>
      <c r="AQ1410" s="111"/>
      <c r="AR1410" s="111"/>
      <c r="AS1410" s="111"/>
      <c r="AT1410" s="111"/>
      <c r="AU1410" s="111"/>
      <c r="AV1410" s="50"/>
      <c r="AW1410" s="50"/>
      <c r="AX1410" s="50"/>
      <c r="AY1410" s="50"/>
      <c r="AZ1410" s="50"/>
      <c r="BA1410" s="50"/>
      <c r="BB1410" s="50"/>
      <c r="BC1410" s="50"/>
      <c r="BD1410" s="50"/>
      <c r="BE1410" s="50"/>
      <c r="BF1410" s="50"/>
      <c r="BG1410" s="50"/>
      <c r="BH1410" s="50"/>
      <c r="BI1410" s="50"/>
      <c r="BJ1410" s="50"/>
      <c r="BK1410" s="50"/>
      <c r="BL1410" s="50"/>
      <c r="BM1410" s="50"/>
      <c r="BN1410" s="50"/>
      <c r="BO1410" s="50"/>
      <c r="BP1410" s="50"/>
      <c r="BQ1410" s="50"/>
      <c r="BR1410" s="50"/>
      <c r="BS1410" s="111"/>
      <c r="BT1410" s="50"/>
      <c r="BU1410" s="50"/>
      <c r="BV1410" s="50"/>
      <c r="BW1410" s="50"/>
      <c r="BX1410" s="50"/>
      <c r="BY1410" s="50"/>
      <c r="BZ1410" s="50"/>
      <c r="CA1410" s="50"/>
      <c r="CB1410" s="50"/>
      <c r="CC1410" s="50"/>
      <c r="CD1410" s="50"/>
      <c r="CE1410" s="50"/>
      <c r="CF1410" s="50"/>
      <c r="CG1410" s="50"/>
      <c r="CH1410" s="50"/>
      <c r="CI1410" s="50"/>
      <c r="CJ1410" s="50"/>
      <c r="CK1410" s="50"/>
      <c r="CL1410" s="50"/>
      <c r="CM1410" s="50"/>
      <c r="CN1410" s="50"/>
      <c r="CO1410" s="50"/>
      <c r="CP1410" s="50"/>
      <c r="CQ1410" s="50"/>
      <c r="CR1410" s="50"/>
      <c r="CS1410" s="50"/>
    </row>
    <row r="1411" spans="1:97" ht="15" thickBot="1">
      <c r="A1411" s="49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111"/>
      <c r="O1411" s="111"/>
      <c r="P1411" s="111"/>
      <c r="Q1411" s="111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1"/>
      <c r="AF1411" s="111"/>
      <c r="AG1411" s="111"/>
      <c r="AH1411" s="111"/>
      <c r="AI1411" s="111"/>
      <c r="AJ1411" s="111"/>
      <c r="AK1411" s="111"/>
      <c r="AL1411" s="111"/>
      <c r="AM1411" s="111"/>
      <c r="AN1411" s="111"/>
      <c r="AO1411" s="111"/>
      <c r="AP1411" s="111"/>
      <c r="AQ1411" s="111"/>
      <c r="AR1411" s="111"/>
      <c r="AS1411" s="111"/>
      <c r="AT1411" s="111"/>
      <c r="AU1411" s="111"/>
      <c r="AV1411" s="50"/>
      <c r="AW1411" s="50"/>
      <c r="AX1411" s="50"/>
      <c r="AY1411" s="50"/>
      <c r="AZ1411" s="50"/>
      <c r="BA1411" s="50"/>
      <c r="BB1411" s="50"/>
      <c r="BC1411" s="50"/>
      <c r="BD1411" s="50"/>
      <c r="BE1411" s="50"/>
      <c r="BF1411" s="50"/>
      <c r="BG1411" s="50"/>
      <c r="BH1411" s="50"/>
      <c r="BI1411" s="50"/>
      <c r="BJ1411" s="50"/>
      <c r="BK1411" s="50"/>
      <c r="BL1411" s="50"/>
      <c r="BM1411" s="50"/>
      <c r="BN1411" s="50"/>
      <c r="BO1411" s="50"/>
      <c r="BP1411" s="50"/>
      <c r="BQ1411" s="50"/>
      <c r="BR1411" s="50"/>
      <c r="BS1411" s="111"/>
      <c r="BT1411" s="50"/>
      <c r="BU1411" s="50"/>
      <c r="BV1411" s="50"/>
      <c r="BW1411" s="50"/>
      <c r="BX1411" s="50"/>
      <c r="BY1411" s="50"/>
      <c r="BZ1411" s="50"/>
      <c r="CA1411" s="50"/>
      <c r="CB1411" s="50"/>
      <c r="CC1411" s="50"/>
      <c r="CD1411" s="50"/>
      <c r="CE1411" s="50"/>
      <c r="CF1411" s="50"/>
      <c r="CG1411" s="50"/>
      <c r="CH1411" s="50"/>
      <c r="CI1411" s="50"/>
      <c r="CJ1411" s="50"/>
      <c r="CK1411" s="50"/>
      <c r="CL1411" s="50"/>
      <c r="CM1411" s="50"/>
      <c r="CN1411" s="50"/>
      <c r="CO1411" s="50"/>
      <c r="CP1411" s="50"/>
      <c r="CQ1411" s="50"/>
      <c r="CR1411" s="50"/>
      <c r="CS1411" s="50"/>
    </row>
    <row r="1412" spans="1:97" ht="15" thickBot="1">
      <c r="A1412" s="49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111"/>
      <c r="O1412" s="111"/>
      <c r="P1412" s="111"/>
      <c r="Q1412" s="111"/>
      <c r="R1412" s="111"/>
      <c r="S1412" s="111"/>
      <c r="T1412" s="111"/>
      <c r="U1412" s="111"/>
      <c r="V1412" s="111"/>
      <c r="W1412" s="111"/>
      <c r="X1412" s="111"/>
      <c r="Y1412" s="111"/>
      <c r="Z1412" s="111"/>
      <c r="AA1412" s="111"/>
      <c r="AB1412" s="111"/>
      <c r="AC1412" s="111"/>
      <c r="AD1412" s="111"/>
      <c r="AE1412" s="111"/>
      <c r="AF1412" s="111"/>
      <c r="AG1412" s="111"/>
      <c r="AH1412" s="111"/>
      <c r="AI1412" s="111"/>
      <c r="AJ1412" s="111"/>
      <c r="AK1412" s="111"/>
      <c r="AL1412" s="111"/>
      <c r="AM1412" s="111"/>
      <c r="AN1412" s="111"/>
      <c r="AO1412" s="111"/>
      <c r="AP1412" s="111"/>
      <c r="AQ1412" s="111"/>
      <c r="AR1412" s="111"/>
      <c r="AS1412" s="111"/>
      <c r="AT1412" s="111"/>
      <c r="AU1412" s="111"/>
      <c r="AV1412" s="50"/>
      <c r="AW1412" s="50"/>
      <c r="AX1412" s="50"/>
      <c r="AY1412" s="50"/>
      <c r="AZ1412" s="50"/>
      <c r="BA1412" s="50"/>
      <c r="BB1412" s="50"/>
      <c r="BC1412" s="50"/>
      <c r="BD1412" s="50"/>
      <c r="BE1412" s="50"/>
      <c r="BF1412" s="50"/>
      <c r="BG1412" s="50"/>
      <c r="BH1412" s="50"/>
      <c r="BI1412" s="50"/>
      <c r="BJ1412" s="50"/>
      <c r="BK1412" s="50"/>
      <c r="BL1412" s="50"/>
      <c r="BM1412" s="50"/>
      <c r="BN1412" s="50"/>
      <c r="BO1412" s="50"/>
      <c r="BP1412" s="50"/>
      <c r="BQ1412" s="50"/>
      <c r="BR1412" s="50"/>
      <c r="BS1412" s="111"/>
      <c r="BT1412" s="50"/>
      <c r="BU1412" s="50"/>
      <c r="BV1412" s="50"/>
      <c r="BW1412" s="50"/>
      <c r="BX1412" s="50"/>
      <c r="BY1412" s="50"/>
      <c r="BZ1412" s="50"/>
      <c r="CA1412" s="50"/>
      <c r="CB1412" s="50"/>
      <c r="CC1412" s="50"/>
      <c r="CD1412" s="50"/>
      <c r="CE1412" s="50"/>
      <c r="CF1412" s="50"/>
      <c r="CG1412" s="50"/>
      <c r="CH1412" s="50"/>
      <c r="CI1412" s="50"/>
      <c r="CJ1412" s="50"/>
      <c r="CK1412" s="50"/>
      <c r="CL1412" s="50"/>
      <c r="CM1412" s="50"/>
      <c r="CN1412" s="50"/>
      <c r="CO1412" s="50"/>
      <c r="CP1412" s="50"/>
      <c r="CQ1412" s="50"/>
      <c r="CR1412" s="50"/>
      <c r="CS1412" s="50"/>
    </row>
    <row r="1413" spans="1:97" ht="15" thickBot="1">
      <c r="A1413" s="49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111"/>
      <c r="O1413" s="111"/>
      <c r="P1413" s="111"/>
      <c r="Q1413" s="111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1"/>
      <c r="AF1413" s="111"/>
      <c r="AG1413" s="111"/>
      <c r="AH1413" s="111"/>
      <c r="AI1413" s="111"/>
      <c r="AJ1413" s="111"/>
      <c r="AK1413" s="111"/>
      <c r="AL1413" s="111"/>
      <c r="AM1413" s="111"/>
      <c r="AN1413" s="111"/>
      <c r="AO1413" s="111"/>
      <c r="AP1413" s="111"/>
      <c r="AQ1413" s="111"/>
      <c r="AR1413" s="111"/>
      <c r="AS1413" s="111"/>
      <c r="AT1413" s="111"/>
      <c r="AU1413" s="111"/>
      <c r="AV1413" s="50"/>
      <c r="AW1413" s="50"/>
      <c r="AX1413" s="50"/>
      <c r="AY1413" s="50"/>
      <c r="AZ1413" s="50"/>
      <c r="BA1413" s="50"/>
      <c r="BB1413" s="50"/>
      <c r="BC1413" s="50"/>
      <c r="BD1413" s="50"/>
      <c r="BE1413" s="50"/>
      <c r="BF1413" s="50"/>
      <c r="BG1413" s="50"/>
      <c r="BH1413" s="50"/>
      <c r="BI1413" s="50"/>
      <c r="BJ1413" s="50"/>
      <c r="BK1413" s="50"/>
      <c r="BL1413" s="50"/>
      <c r="BM1413" s="50"/>
      <c r="BN1413" s="50"/>
      <c r="BO1413" s="50"/>
      <c r="BP1413" s="50"/>
      <c r="BQ1413" s="50"/>
      <c r="BR1413" s="50"/>
      <c r="BS1413" s="111"/>
      <c r="BT1413" s="50"/>
      <c r="BU1413" s="50"/>
      <c r="BV1413" s="50"/>
      <c r="BW1413" s="50"/>
      <c r="BX1413" s="50"/>
      <c r="BY1413" s="50"/>
      <c r="BZ1413" s="50"/>
      <c r="CA1413" s="50"/>
      <c r="CB1413" s="50"/>
      <c r="CC1413" s="50"/>
      <c r="CD1413" s="50"/>
      <c r="CE1413" s="50"/>
      <c r="CF1413" s="50"/>
      <c r="CG1413" s="50"/>
      <c r="CH1413" s="50"/>
      <c r="CI1413" s="50"/>
      <c r="CJ1413" s="50"/>
      <c r="CK1413" s="50"/>
      <c r="CL1413" s="50"/>
      <c r="CM1413" s="50"/>
      <c r="CN1413" s="50"/>
      <c r="CO1413" s="50"/>
      <c r="CP1413" s="50"/>
      <c r="CQ1413" s="50"/>
      <c r="CR1413" s="50"/>
      <c r="CS1413" s="50"/>
    </row>
    <row r="1414" spans="1:97" ht="15" thickBot="1">
      <c r="A1414" s="49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111"/>
      <c r="O1414" s="111"/>
      <c r="P1414" s="111"/>
      <c r="Q1414" s="111"/>
      <c r="R1414" s="111"/>
      <c r="S1414" s="111"/>
      <c r="T1414" s="111"/>
      <c r="U1414" s="111"/>
      <c r="V1414" s="111"/>
      <c r="W1414" s="111"/>
      <c r="X1414" s="111"/>
      <c r="Y1414" s="111"/>
      <c r="Z1414" s="111"/>
      <c r="AA1414" s="111"/>
      <c r="AB1414" s="111"/>
      <c r="AC1414" s="111"/>
      <c r="AD1414" s="111"/>
      <c r="AE1414" s="111"/>
      <c r="AF1414" s="111"/>
      <c r="AG1414" s="111"/>
      <c r="AH1414" s="111"/>
      <c r="AI1414" s="111"/>
      <c r="AJ1414" s="111"/>
      <c r="AK1414" s="111"/>
      <c r="AL1414" s="111"/>
      <c r="AM1414" s="111"/>
      <c r="AN1414" s="111"/>
      <c r="AO1414" s="111"/>
      <c r="AP1414" s="111"/>
      <c r="AQ1414" s="111"/>
      <c r="AR1414" s="111"/>
      <c r="AS1414" s="111"/>
      <c r="AT1414" s="111"/>
      <c r="AU1414" s="111"/>
      <c r="AV1414" s="50"/>
      <c r="AW1414" s="50"/>
      <c r="AX1414" s="50"/>
      <c r="AY1414" s="50"/>
      <c r="AZ1414" s="50"/>
      <c r="BA1414" s="50"/>
      <c r="BB1414" s="50"/>
      <c r="BC1414" s="50"/>
      <c r="BD1414" s="50"/>
      <c r="BE1414" s="50"/>
      <c r="BF1414" s="50"/>
      <c r="BG1414" s="50"/>
      <c r="BH1414" s="50"/>
      <c r="BI1414" s="50"/>
      <c r="BJ1414" s="50"/>
      <c r="BK1414" s="50"/>
      <c r="BL1414" s="50"/>
      <c r="BM1414" s="50"/>
      <c r="BN1414" s="50"/>
      <c r="BO1414" s="50"/>
      <c r="BP1414" s="50"/>
      <c r="BQ1414" s="50"/>
      <c r="BR1414" s="50"/>
      <c r="BS1414" s="111"/>
      <c r="BT1414" s="50"/>
      <c r="BU1414" s="50"/>
      <c r="BV1414" s="50"/>
      <c r="BW1414" s="50"/>
      <c r="BX1414" s="50"/>
      <c r="BY1414" s="50"/>
      <c r="BZ1414" s="50"/>
      <c r="CA1414" s="50"/>
      <c r="CB1414" s="50"/>
      <c r="CC1414" s="50"/>
      <c r="CD1414" s="50"/>
      <c r="CE1414" s="50"/>
      <c r="CF1414" s="50"/>
      <c r="CG1414" s="50"/>
      <c r="CH1414" s="50"/>
      <c r="CI1414" s="50"/>
      <c r="CJ1414" s="50"/>
      <c r="CK1414" s="50"/>
      <c r="CL1414" s="50"/>
      <c r="CM1414" s="50"/>
      <c r="CN1414" s="50"/>
      <c r="CO1414" s="50"/>
      <c r="CP1414" s="50"/>
      <c r="CQ1414" s="50"/>
      <c r="CR1414" s="50"/>
      <c r="CS1414" s="50"/>
    </row>
    <row r="1415" spans="1:97" ht="15" thickBot="1">
      <c r="A1415" s="49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111"/>
      <c r="O1415" s="111"/>
      <c r="P1415" s="111"/>
      <c r="Q1415" s="111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1"/>
      <c r="AF1415" s="111"/>
      <c r="AG1415" s="111"/>
      <c r="AH1415" s="111"/>
      <c r="AI1415" s="111"/>
      <c r="AJ1415" s="111"/>
      <c r="AK1415" s="111"/>
      <c r="AL1415" s="111"/>
      <c r="AM1415" s="111"/>
      <c r="AN1415" s="111"/>
      <c r="AO1415" s="111"/>
      <c r="AP1415" s="111"/>
      <c r="AQ1415" s="111"/>
      <c r="AR1415" s="111"/>
      <c r="AS1415" s="111"/>
      <c r="AT1415" s="111"/>
      <c r="AU1415" s="111"/>
      <c r="AV1415" s="50"/>
      <c r="AW1415" s="50"/>
      <c r="AX1415" s="50"/>
      <c r="AY1415" s="50"/>
      <c r="AZ1415" s="50"/>
      <c r="BA1415" s="50"/>
      <c r="BB1415" s="50"/>
      <c r="BC1415" s="50"/>
      <c r="BD1415" s="50"/>
      <c r="BE1415" s="50"/>
      <c r="BF1415" s="50"/>
      <c r="BG1415" s="50"/>
      <c r="BH1415" s="50"/>
      <c r="BI1415" s="50"/>
      <c r="BJ1415" s="50"/>
      <c r="BK1415" s="50"/>
      <c r="BL1415" s="50"/>
      <c r="BM1415" s="50"/>
      <c r="BN1415" s="50"/>
      <c r="BO1415" s="50"/>
      <c r="BP1415" s="50"/>
      <c r="BQ1415" s="50"/>
      <c r="BR1415" s="50"/>
      <c r="BS1415" s="111"/>
      <c r="BT1415" s="50"/>
      <c r="BU1415" s="50"/>
      <c r="BV1415" s="50"/>
      <c r="BW1415" s="50"/>
      <c r="BX1415" s="50"/>
      <c r="BY1415" s="50"/>
      <c r="BZ1415" s="50"/>
      <c r="CA1415" s="50"/>
      <c r="CB1415" s="50"/>
      <c r="CC1415" s="50"/>
      <c r="CD1415" s="50"/>
      <c r="CE1415" s="50"/>
      <c r="CF1415" s="50"/>
      <c r="CG1415" s="50"/>
      <c r="CH1415" s="50"/>
      <c r="CI1415" s="50"/>
      <c r="CJ1415" s="50"/>
      <c r="CK1415" s="50"/>
      <c r="CL1415" s="50"/>
      <c r="CM1415" s="50"/>
      <c r="CN1415" s="50"/>
      <c r="CO1415" s="50"/>
      <c r="CP1415" s="50"/>
      <c r="CQ1415" s="50"/>
      <c r="CR1415" s="50"/>
      <c r="CS1415" s="50"/>
    </row>
    <row r="1416" spans="1:97" ht="15" thickBot="1">
      <c r="A1416" s="49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111"/>
      <c r="O1416" s="111"/>
      <c r="P1416" s="111"/>
      <c r="Q1416" s="111"/>
      <c r="R1416" s="111"/>
      <c r="S1416" s="111"/>
      <c r="T1416" s="111"/>
      <c r="U1416" s="111"/>
      <c r="V1416" s="111"/>
      <c r="W1416" s="111"/>
      <c r="X1416" s="111"/>
      <c r="Y1416" s="111"/>
      <c r="Z1416" s="111"/>
      <c r="AA1416" s="111"/>
      <c r="AB1416" s="111"/>
      <c r="AC1416" s="111"/>
      <c r="AD1416" s="111"/>
      <c r="AE1416" s="111"/>
      <c r="AF1416" s="111"/>
      <c r="AG1416" s="111"/>
      <c r="AH1416" s="111"/>
      <c r="AI1416" s="111"/>
      <c r="AJ1416" s="111"/>
      <c r="AK1416" s="111"/>
      <c r="AL1416" s="111"/>
      <c r="AM1416" s="111"/>
      <c r="AN1416" s="111"/>
      <c r="AO1416" s="111"/>
      <c r="AP1416" s="111"/>
      <c r="AQ1416" s="111"/>
      <c r="AR1416" s="111"/>
      <c r="AS1416" s="111"/>
      <c r="AT1416" s="111"/>
      <c r="AU1416" s="111"/>
      <c r="AV1416" s="50"/>
      <c r="AW1416" s="50"/>
      <c r="AX1416" s="50"/>
      <c r="AY1416" s="50"/>
      <c r="AZ1416" s="50"/>
      <c r="BA1416" s="50"/>
      <c r="BB1416" s="50"/>
      <c r="BC1416" s="50"/>
      <c r="BD1416" s="50"/>
      <c r="BE1416" s="50"/>
      <c r="BF1416" s="50"/>
      <c r="BG1416" s="50"/>
      <c r="BH1416" s="50"/>
      <c r="BI1416" s="50"/>
      <c r="BJ1416" s="50"/>
      <c r="BK1416" s="50"/>
      <c r="BL1416" s="50"/>
      <c r="BM1416" s="50"/>
      <c r="BN1416" s="50"/>
      <c r="BO1416" s="50"/>
      <c r="BP1416" s="50"/>
      <c r="BQ1416" s="50"/>
      <c r="BR1416" s="50"/>
      <c r="BS1416" s="111"/>
      <c r="BT1416" s="50"/>
      <c r="BU1416" s="50"/>
      <c r="BV1416" s="50"/>
      <c r="BW1416" s="50"/>
      <c r="BX1416" s="50"/>
      <c r="BY1416" s="50"/>
      <c r="BZ1416" s="50"/>
      <c r="CA1416" s="50"/>
      <c r="CB1416" s="50"/>
      <c r="CC1416" s="50"/>
      <c r="CD1416" s="50"/>
      <c r="CE1416" s="50"/>
      <c r="CF1416" s="50"/>
      <c r="CG1416" s="50"/>
      <c r="CH1416" s="50"/>
      <c r="CI1416" s="50"/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</row>
    <row r="1417" spans="1:97" ht="15" thickBot="1">
      <c r="A1417" s="49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111"/>
      <c r="O1417" s="111"/>
      <c r="P1417" s="111"/>
      <c r="Q1417" s="111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1"/>
      <c r="AF1417" s="111"/>
      <c r="AG1417" s="111"/>
      <c r="AH1417" s="111"/>
      <c r="AI1417" s="111"/>
      <c r="AJ1417" s="111"/>
      <c r="AK1417" s="111"/>
      <c r="AL1417" s="111"/>
      <c r="AM1417" s="111"/>
      <c r="AN1417" s="111"/>
      <c r="AO1417" s="111"/>
      <c r="AP1417" s="111"/>
      <c r="AQ1417" s="111"/>
      <c r="AR1417" s="111"/>
      <c r="AS1417" s="111"/>
      <c r="AT1417" s="111"/>
      <c r="AU1417" s="111"/>
      <c r="AV1417" s="50"/>
      <c r="AW1417" s="50"/>
      <c r="AX1417" s="50"/>
      <c r="AY1417" s="50"/>
      <c r="AZ1417" s="50"/>
      <c r="BA1417" s="50"/>
      <c r="BB1417" s="50"/>
      <c r="BC1417" s="50"/>
      <c r="BD1417" s="50"/>
      <c r="BE1417" s="50"/>
      <c r="BF1417" s="50"/>
      <c r="BG1417" s="50"/>
      <c r="BH1417" s="50"/>
      <c r="BI1417" s="50"/>
      <c r="BJ1417" s="50"/>
      <c r="BK1417" s="50"/>
      <c r="BL1417" s="50"/>
      <c r="BM1417" s="50"/>
      <c r="BN1417" s="50"/>
      <c r="BO1417" s="50"/>
      <c r="BP1417" s="50"/>
      <c r="BQ1417" s="50"/>
      <c r="BR1417" s="50"/>
      <c r="BS1417" s="111"/>
      <c r="BT1417" s="50"/>
      <c r="BU1417" s="50"/>
      <c r="BV1417" s="50"/>
      <c r="BW1417" s="50"/>
      <c r="BX1417" s="50"/>
      <c r="BY1417" s="50"/>
      <c r="BZ1417" s="50"/>
      <c r="CA1417" s="50"/>
      <c r="CB1417" s="50"/>
      <c r="CC1417" s="50"/>
      <c r="CD1417" s="50"/>
      <c r="CE1417" s="50"/>
      <c r="CF1417" s="50"/>
      <c r="CG1417" s="50"/>
      <c r="CH1417" s="50"/>
      <c r="CI1417" s="50"/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</row>
    <row r="1418" spans="1:97" ht="15" thickBot="1">
      <c r="A1418" s="49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111"/>
      <c r="O1418" s="111"/>
      <c r="P1418" s="111"/>
      <c r="Q1418" s="111"/>
      <c r="R1418" s="111"/>
      <c r="S1418" s="111"/>
      <c r="T1418" s="111"/>
      <c r="U1418" s="111"/>
      <c r="V1418" s="111"/>
      <c r="W1418" s="111"/>
      <c r="X1418" s="111"/>
      <c r="Y1418" s="111"/>
      <c r="Z1418" s="111"/>
      <c r="AA1418" s="111"/>
      <c r="AB1418" s="111"/>
      <c r="AC1418" s="111"/>
      <c r="AD1418" s="111"/>
      <c r="AE1418" s="111"/>
      <c r="AF1418" s="111"/>
      <c r="AG1418" s="111"/>
      <c r="AH1418" s="111"/>
      <c r="AI1418" s="111"/>
      <c r="AJ1418" s="111"/>
      <c r="AK1418" s="111"/>
      <c r="AL1418" s="111"/>
      <c r="AM1418" s="111"/>
      <c r="AN1418" s="111"/>
      <c r="AO1418" s="111"/>
      <c r="AP1418" s="111"/>
      <c r="AQ1418" s="111"/>
      <c r="AR1418" s="111"/>
      <c r="AS1418" s="111"/>
      <c r="AT1418" s="111"/>
      <c r="AU1418" s="111"/>
      <c r="AV1418" s="50"/>
      <c r="AW1418" s="50"/>
      <c r="AX1418" s="50"/>
      <c r="AY1418" s="50"/>
      <c r="AZ1418" s="50"/>
      <c r="BA1418" s="50"/>
      <c r="BB1418" s="50"/>
      <c r="BC1418" s="50"/>
      <c r="BD1418" s="50"/>
      <c r="BE1418" s="50"/>
      <c r="BF1418" s="50"/>
      <c r="BG1418" s="50"/>
      <c r="BH1418" s="50"/>
      <c r="BI1418" s="50"/>
      <c r="BJ1418" s="50"/>
      <c r="BK1418" s="50"/>
      <c r="BL1418" s="50"/>
      <c r="BM1418" s="50"/>
      <c r="BN1418" s="50"/>
      <c r="BO1418" s="50"/>
      <c r="BP1418" s="50"/>
      <c r="BQ1418" s="50"/>
      <c r="BR1418" s="50"/>
      <c r="BS1418" s="111"/>
      <c r="BT1418" s="50"/>
      <c r="BU1418" s="50"/>
      <c r="BV1418" s="50"/>
      <c r="BW1418" s="50"/>
      <c r="BX1418" s="50"/>
      <c r="BY1418" s="50"/>
      <c r="BZ1418" s="50"/>
      <c r="CA1418" s="50"/>
      <c r="CB1418" s="50"/>
      <c r="CC1418" s="50"/>
      <c r="CD1418" s="50"/>
      <c r="CE1418" s="50"/>
      <c r="CF1418" s="50"/>
      <c r="CG1418" s="50"/>
      <c r="CH1418" s="50"/>
      <c r="CI1418" s="50"/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</row>
    <row r="1419" spans="1:97" ht="15" thickBot="1">
      <c r="A1419" s="49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111"/>
      <c r="O1419" s="111"/>
      <c r="P1419" s="111"/>
      <c r="Q1419" s="111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1"/>
      <c r="AF1419" s="111"/>
      <c r="AG1419" s="111"/>
      <c r="AH1419" s="111"/>
      <c r="AI1419" s="111"/>
      <c r="AJ1419" s="111"/>
      <c r="AK1419" s="111"/>
      <c r="AL1419" s="111"/>
      <c r="AM1419" s="111"/>
      <c r="AN1419" s="111"/>
      <c r="AO1419" s="111"/>
      <c r="AP1419" s="111"/>
      <c r="AQ1419" s="111"/>
      <c r="AR1419" s="111"/>
      <c r="AS1419" s="111"/>
      <c r="AT1419" s="111"/>
      <c r="AU1419" s="111"/>
      <c r="AV1419" s="50"/>
      <c r="AW1419" s="50"/>
      <c r="AX1419" s="50"/>
      <c r="AY1419" s="50"/>
      <c r="AZ1419" s="50"/>
      <c r="BA1419" s="50"/>
      <c r="BB1419" s="50"/>
      <c r="BC1419" s="50"/>
      <c r="BD1419" s="50"/>
      <c r="BE1419" s="50"/>
      <c r="BF1419" s="50"/>
      <c r="BG1419" s="50"/>
      <c r="BH1419" s="50"/>
      <c r="BI1419" s="50"/>
      <c r="BJ1419" s="50"/>
      <c r="BK1419" s="50"/>
      <c r="BL1419" s="50"/>
      <c r="BM1419" s="50"/>
      <c r="BN1419" s="50"/>
      <c r="BO1419" s="50"/>
      <c r="BP1419" s="50"/>
      <c r="BQ1419" s="50"/>
      <c r="BR1419" s="50"/>
      <c r="BS1419" s="111"/>
      <c r="BT1419" s="50"/>
      <c r="BU1419" s="50"/>
      <c r="BV1419" s="50"/>
      <c r="BW1419" s="50"/>
      <c r="BX1419" s="50"/>
      <c r="BY1419" s="50"/>
      <c r="BZ1419" s="50"/>
      <c r="CA1419" s="50"/>
      <c r="CB1419" s="50"/>
      <c r="CC1419" s="50"/>
      <c r="CD1419" s="50"/>
      <c r="CE1419" s="50"/>
      <c r="CF1419" s="50"/>
      <c r="CG1419" s="50"/>
      <c r="CH1419" s="50"/>
      <c r="CI1419" s="50"/>
      <c r="CJ1419" s="50"/>
      <c r="CK1419" s="50"/>
      <c r="CL1419" s="50"/>
      <c r="CM1419" s="50"/>
      <c r="CN1419" s="50"/>
      <c r="CO1419" s="50"/>
      <c r="CP1419" s="50"/>
      <c r="CQ1419" s="50"/>
      <c r="CR1419" s="50"/>
      <c r="CS1419" s="50"/>
    </row>
    <row r="1420" spans="1:97" ht="15" thickBot="1">
      <c r="A1420" s="49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111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11"/>
      <c r="Y1420" s="111"/>
      <c r="Z1420" s="111"/>
      <c r="AA1420" s="111"/>
      <c r="AB1420" s="111"/>
      <c r="AC1420" s="111"/>
      <c r="AD1420" s="111"/>
      <c r="AE1420" s="111"/>
      <c r="AF1420" s="111"/>
      <c r="AG1420" s="111"/>
      <c r="AH1420" s="111"/>
      <c r="AI1420" s="111"/>
      <c r="AJ1420" s="111"/>
      <c r="AK1420" s="111"/>
      <c r="AL1420" s="111"/>
      <c r="AM1420" s="111"/>
      <c r="AN1420" s="111"/>
      <c r="AO1420" s="111"/>
      <c r="AP1420" s="111"/>
      <c r="AQ1420" s="111"/>
      <c r="AR1420" s="111"/>
      <c r="AS1420" s="111"/>
      <c r="AT1420" s="111"/>
      <c r="AU1420" s="111"/>
      <c r="AV1420" s="50"/>
      <c r="AW1420" s="50"/>
      <c r="AX1420" s="50"/>
      <c r="AY1420" s="50"/>
      <c r="AZ1420" s="50"/>
      <c r="BA1420" s="50"/>
      <c r="BB1420" s="50"/>
      <c r="BC1420" s="50"/>
      <c r="BD1420" s="50"/>
      <c r="BE1420" s="50"/>
      <c r="BF1420" s="50"/>
      <c r="BG1420" s="50"/>
      <c r="BH1420" s="50"/>
      <c r="BI1420" s="50"/>
      <c r="BJ1420" s="50"/>
      <c r="BK1420" s="50"/>
      <c r="BL1420" s="50"/>
      <c r="BM1420" s="50"/>
      <c r="BN1420" s="50"/>
      <c r="BO1420" s="50"/>
      <c r="BP1420" s="50"/>
      <c r="BQ1420" s="50"/>
      <c r="BR1420" s="50"/>
      <c r="BS1420" s="111"/>
      <c r="BT1420" s="50"/>
      <c r="BU1420" s="50"/>
      <c r="BV1420" s="50"/>
      <c r="BW1420" s="50"/>
      <c r="BX1420" s="50"/>
      <c r="BY1420" s="50"/>
      <c r="BZ1420" s="50"/>
      <c r="CA1420" s="50"/>
      <c r="CB1420" s="50"/>
      <c r="CC1420" s="50"/>
      <c r="CD1420" s="50"/>
      <c r="CE1420" s="50"/>
      <c r="CF1420" s="50"/>
      <c r="CG1420" s="50"/>
      <c r="CH1420" s="50"/>
      <c r="CI1420" s="50"/>
      <c r="CJ1420" s="50"/>
      <c r="CK1420" s="50"/>
      <c r="CL1420" s="50"/>
      <c r="CM1420" s="50"/>
      <c r="CN1420" s="50"/>
      <c r="CO1420" s="50"/>
      <c r="CP1420" s="50"/>
      <c r="CQ1420" s="50"/>
      <c r="CR1420" s="50"/>
      <c r="CS1420" s="50"/>
    </row>
    <row r="1421" spans="1:97" ht="15" thickBot="1">
      <c r="A1421" s="49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111"/>
      <c r="O1421" s="111"/>
      <c r="P1421" s="111"/>
      <c r="Q1421" s="111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1"/>
      <c r="AF1421" s="111"/>
      <c r="AG1421" s="111"/>
      <c r="AH1421" s="111"/>
      <c r="AI1421" s="111"/>
      <c r="AJ1421" s="111"/>
      <c r="AK1421" s="111"/>
      <c r="AL1421" s="111"/>
      <c r="AM1421" s="111"/>
      <c r="AN1421" s="111"/>
      <c r="AO1421" s="111"/>
      <c r="AP1421" s="111"/>
      <c r="AQ1421" s="111"/>
      <c r="AR1421" s="111"/>
      <c r="AS1421" s="111"/>
      <c r="AT1421" s="111"/>
      <c r="AU1421" s="111"/>
      <c r="AV1421" s="50"/>
      <c r="AW1421" s="50"/>
      <c r="AX1421" s="50"/>
      <c r="AY1421" s="50"/>
      <c r="AZ1421" s="50"/>
      <c r="BA1421" s="50"/>
      <c r="BB1421" s="50"/>
      <c r="BC1421" s="50"/>
      <c r="BD1421" s="50"/>
      <c r="BE1421" s="50"/>
      <c r="BF1421" s="50"/>
      <c r="BG1421" s="50"/>
      <c r="BH1421" s="50"/>
      <c r="BI1421" s="50"/>
      <c r="BJ1421" s="50"/>
      <c r="BK1421" s="50"/>
      <c r="BL1421" s="50"/>
      <c r="BM1421" s="50"/>
      <c r="BN1421" s="50"/>
      <c r="BO1421" s="50"/>
      <c r="BP1421" s="50"/>
      <c r="BQ1421" s="50"/>
      <c r="BR1421" s="50"/>
      <c r="BS1421" s="111"/>
      <c r="BT1421" s="50"/>
      <c r="BU1421" s="50"/>
      <c r="BV1421" s="50"/>
      <c r="BW1421" s="50"/>
      <c r="BX1421" s="50"/>
      <c r="BY1421" s="50"/>
      <c r="BZ1421" s="50"/>
      <c r="CA1421" s="50"/>
      <c r="CB1421" s="50"/>
      <c r="CC1421" s="50"/>
      <c r="CD1421" s="50"/>
      <c r="CE1421" s="50"/>
      <c r="CF1421" s="50"/>
      <c r="CG1421" s="50"/>
      <c r="CH1421" s="50"/>
      <c r="CI1421" s="50"/>
      <c r="CJ1421" s="50"/>
      <c r="CK1421" s="50"/>
      <c r="CL1421" s="50"/>
      <c r="CM1421" s="50"/>
      <c r="CN1421" s="50"/>
      <c r="CO1421" s="50"/>
      <c r="CP1421" s="50"/>
      <c r="CQ1421" s="50"/>
      <c r="CR1421" s="50"/>
      <c r="CS1421" s="50"/>
    </row>
    <row r="1422" spans="1:97" ht="15" thickBot="1">
      <c r="A1422" s="49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111"/>
      <c r="O1422" s="111"/>
      <c r="P1422" s="111"/>
      <c r="Q1422" s="111"/>
      <c r="R1422" s="111"/>
      <c r="S1422" s="111"/>
      <c r="T1422" s="111"/>
      <c r="U1422" s="111"/>
      <c r="V1422" s="111"/>
      <c r="W1422" s="111"/>
      <c r="X1422" s="111"/>
      <c r="Y1422" s="111"/>
      <c r="Z1422" s="111"/>
      <c r="AA1422" s="111"/>
      <c r="AB1422" s="111"/>
      <c r="AC1422" s="111"/>
      <c r="AD1422" s="111"/>
      <c r="AE1422" s="111"/>
      <c r="AF1422" s="111"/>
      <c r="AG1422" s="111"/>
      <c r="AH1422" s="111"/>
      <c r="AI1422" s="111"/>
      <c r="AJ1422" s="111"/>
      <c r="AK1422" s="111"/>
      <c r="AL1422" s="111"/>
      <c r="AM1422" s="111"/>
      <c r="AN1422" s="111"/>
      <c r="AO1422" s="111"/>
      <c r="AP1422" s="111"/>
      <c r="AQ1422" s="111"/>
      <c r="AR1422" s="111"/>
      <c r="AS1422" s="111"/>
      <c r="AT1422" s="111"/>
      <c r="AU1422" s="111"/>
      <c r="AV1422" s="50"/>
      <c r="AW1422" s="50"/>
      <c r="AX1422" s="50"/>
      <c r="AY1422" s="50"/>
      <c r="AZ1422" s="50"/>
      <c r="BA1422" s="50"/>
      <c r="BB1422" s="50"/>
      <c r="BC1422" s="50"/>
      <c r="BD1422" s="50"/>
      <c r="BE1422" s="50"/>
      <c r="BF1422" s="50"/>
      <c r="BG1422" s="50"/>
      <c r="BH1422" s="50"/>
      <c r="BI1422" s="50"/>
      <c r="BJ1422" s="50"/>
      <c r="BK1422" s="50"/>
      <c r="BL1422" s="50"/>
      <c r="BM1422" s="50"/>
      <c r="BN1422" s="50"/>
      <c r="BO1422" s="50"/>
      <c r="BP1422" s="50"/>
      <c r="BQ1422" s="50"/>
      <c r="BR1422" s="50"/>
      <c r="BS1422" s="111"/>
      <c r="BT1422" s="50"/>
      <c r="BU1422" s="50"/>
      <c r="BV1422" s="50"/>
      <c r="BW1422" s="50"/>
      <c r="BX1422" s="50"/>
      <c r="BY1422" s="50"/>
      <c r="BZ1422" s="50"/>
      <c r="CA1422" s="50"/>
      <c r="CB1422" s="50"/>
      <c r="CC1422" s="50"/>
      <c r="CD1422" s="50"/>
      <c r="CE1422" s="50"/>
      <c r="CF1422" s="50"/>
      <c r="CG1422" s="50"/>
      <c r="CH1422" s="50"/>
      <c r="CI1422" s="50"/>
      <c r="CJ1422" s="50"/>
      <c r="CK1422" s="50"/>
      <c r="CL1422" s="50"/>
      <c r="CM1422" s="50"/>
      <c r="CN1422" s="50"/>
      <c r="CO1422" s="50"/>
      <c r="CP1422" s="50"/>
      <c r="CQ1422" s="50"/>
      <c r="CR1422" s="50"/>
      <c r="CS1422" s="50"/>
    </row>
    <row r="1423" spans="1:97" ht="15" thickBot="1">
      <c r="A1423" s="49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111"/>
      <c r="O1423" s="111"/>
      <c r="P1423" s="111"/>
      <c r="Q1423" s="111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1"/>
      <c r="AF1423" s="111"/>
      <c r="AG1423" s="111"/>
      <c r="AH1423" s="111"/>
      <c r="AI1423" s="111"/>
      <c r="AJ1423" s="111"/>
      <c r="AK1423" s="111"/>
      <c r="AL1423" s="111"/>
      <c r="AM1423" s="111"/>
      <c r="AN1423" s="111"/>
      <c r="AO1423" s="111"/>
      <c r="AP1423" s="111"/>
      <c r="AQ1423" s="111"/>
      <c r="AR1423" s="111"/>
      <c r="AS1423" s="111"/>
      <c r="AT1423" s="111"/>
      <c r="AU1423" s="111"/>
      <c r="AV1423" s="50"/>
      <c r="AW1423" s="50"/>
      <c r="AX1423" s="50"/>
      <c r="AY1423" s="50"/>
      <c r="AZ1423" s="50"/>
      <c r="BA1423" s="50"/>
      <c r="BB1423" s="50"/>
      <c r="BC1423" s="50"/>
      <c r="BD1423" s="50"/>
      <c r="BE1423" s="50"/>
      <c r="BF1423" s="50"/>
      <c r="BG1423" s="50"/>
      <c r="BH1423" s="50"/>
      <c r="BI1423" s="50"/>
      <c r="BJ1423" s="50"/>
      <c r="BK1423" s="50"/>
      <c r="BL1423" s="50"/>
      <c r="BM1423" s="50"/>
      <c r="BN1423" s="50"/>
      <c r="BO1423" s="50"/>
      <c r="BP1423" s="50"/>
      <c r="BQ1423" s="50"/>
      <c r="BR1423" s="50"/>
      <c r="BS1423" s="111"/>
      <c r="BT1423" s="50"/>
      <c r="BU1423" s="50"/>
      <c r="BV1423" s="50"/>
      <c r="BW1423" s="50"/>
      <c r="BX1423" s="50"/>
      <c r="BY1423" s="50"/>
      <c r="BZ1423" s="50"/>
      <c r="CA1423" s="50"/>
      <c r="CB1423" s="50"/>
      <c r="CC1423" s="50"/>
      <c r="CD1423" s="50"/>
      <c r="CE1423" s="50"/>
      <c r="CF1423" s="50"/>
      <c r="CG1423" s="50"/>
      <c r="CH1423" s="50"/>
      <c r="CI1423" s="50"/>
      <c r="CJ1423" s="50"/>
      <c r="CK1423" s="50"/>
      <c r="CL1423" s="50"/>
      <c r="CM1423" s="50"/>
      <c r="CN1423" s="50"/>
      <c r="CO1423" s="50"/>
      <c r="CP1423" s="50"/>
      <c r="CQ1423" s="50"/>
      <c r="CR1423" s="50"/>
      <c r="CS1423" s="50"/>
    </row>
    <row r="1424" spans="1:97" ht="15" thickBot="1">
      <c r="A1424" s="49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111"/>
      <c r="O1424" s="111"/>
      <c r="P1424" s="111"/>
      <c r="Q1424" s="111"/>
      <c r="R1424" s="111"/>
      <c r="S1424" s="111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1"/>
      <c r="AF1424" s="111"/>
      <c r="AG1424" s="111"/>
      <c r="AH1424" s="111"/>
      <c r="AI1424" s="111"/>
      <c r="AJ1424" s="111"/>
      <c r="AK1424" s="111"/>
      <c r="AL1424" s="111"/>
      <c r="AM1424" s="111"/>
      <c r="AN1424" s="111"/>
      <c r="AO1424" s="111"/>
      <c r="AP1424" s="111"/>
      <c r="AQ1424" s="111"/>
      <c r="AR1424" s="111"/>
      <c r="AS1424" s="111"/>
      <c r="AT1424" s="111"/>
      <c r="AU1424" s="111"/>
      <c r="AV1424" s="50"/>
      <c r="AW1424" s="50"/>
      <c r="AX1424" s="50"/>
      <c r="AY1424" s="50"/>
      <c r="AZ1424" s="50"/>
      <c r="BA1424" s="50"/>
      <c r="BB1424" s="50"/>
      <c r="BC1424" s="50"/>
      <c r="BD1424" s="50"/>
      <c r="BE1424" s="50"/>
      <c r="BF1424" s="50"/>
      <c r="BG1424" s="50"/>
      <c r="BH1424" s="50"/>
      <c r="BI1424" s="50"/>
      <c r="BJ1424" s="50"/>
      <c r="BK1424" s="50"/>
      <c r="BL1424" s="50"/>
      <c r="BM1424" s="50"/>
      <c r="BN1424" s="50"/>
      <c r="BO1424" s="50"/>
      <c r="BP1424" s="50"/>
      <c r="BQ1424" s="50"/>
      <c r="BR1424" s="50"/>
      <c r="BS1424" s="111"/>
      <c r="BT1424" s="50"/>
      <c r="BU1424" s="50"/>
      <c r="BV1424" s="50"/>
      <c r="BW1424" s="50"/>
      <c r="BX1424" s="50"/>
      <c r="BY1424" s="50"/>
      <c r="BZ1424" s="50"/>
      <c r="CA1424" s="50"/>
      <c r="CB1424" s="50"/>
      <c r="CC1424" s="50"/>
      <c r="CD1424" s="50"/>
      <c r="CE1424" s="50"/>
      <c r="CF1424" s="50"/>
      <c r="CG1424" s="50"/>
      <c r="CH1424" s="50"/>
      <c r="CI1424" s="50"/>
      <c r="CJ1424" s="50"/>
      <c r="CK1424" s="50"/>
      <c r="CL1424" s="50"/>
      <c r="CM1424" s="50"/>
      <c r="CN1424" s="50"/>
      <c r="CO1424" s="50"/>
      <c r="CP1424" s="50"/>
      <c r="CQ1424" s="50"/>
      <c r="CR1424" s="50"/>
      <c r="CS1424" s="50"/>
    </row>
    <row r="1425" spans="1:97" ht="15" thickBot="1">
      <c r="A1425" s="49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111"/>
      <c r="O1425" s="111"/>
      <c r="P1425" s="111"/>
      <c r="Q1425" s="111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1"/>
      <c r="AF1425" s="111"/>
      <c r="AG1425" s="111"/>
      <c r="AH1425" s="111"/>
      <c r="AI1425" s="111"/>
      <c r="AJ1425" s="111"/>
      <c r="AK1425" s="111"/>
      <c r="AL1425" s="111"/>
      <c r="AM1425" s="111"/>
      <c r="AN1425" s="111"/>
      <c r="AO1425" s="111"/>
      <c r="AP1425" s="111"/>
      <c r="AQ1425" s="111"/>
      <c r="AR1425" s="111"/>
      <c r="AS1425" s="111"/>
      <c r="AT1425" s="111"/>
      <c r="AU1425" s="111"/>
      <c r="AV1425" s="50"/>
      <c r="AW1425" s="50"/>
      <c r="AX1425" s="50"/>
      <c r="AY1425" s="50"/>
      <c r="AZ1425" s="50"/>
      <c r="BA1425" s="50"/>
      <c r="BB1425" s="50"/>
      <c r="BC1425" s="50"/>
      <c r="BD1425" s="50"/>
      <c r="BE1425" s="50"/>
      <c r="BF1425" s="50"/>
      <c r="BG1425" s="50"/>
      <c r="BH1425" s="50"/>
      <c r="BI1425" s="50"/>
      <c r="BJ1425" s="50"/>
      <c r="BK1425" s="50"/>
      <c r="BL1425" s="50"/>
      <c r="BM1425" s="50"/>
      <c r="BN1425" s="50"/>
      <c r="BO1425" s="50"/>
      <c r="BP1425" s="50"/>
      <c r="BQ1425" s="50"/>
      <c r="BR1425" s="50"/>
      <c r="BS1425" s="111"/>
      <c r="BT1425" s="50"/>
      <c r="BU1425" s="50"/>
      <c r="BV1425" s="50"/>
      <c r="BW1425" s="50"/>
      <c r="BX1425" s="50"/>
      <c r="BY1425" s="50"/>
      <c r="BZ1425" s="50"/>
      <c r="CA1425" s="50"/>
      <c r="CB1425" s="50"/>
      <c r="CC1425" s="50"/>
      <c r="CD1425" s="50"/>
      <c r="CE1425" s="50"/>
      <c r="CF1425" s="50"/>
      <c r="CG1425" s="50"/>
      <c r="CH1425" s="50"/>
      <c r="CI1425" s="50"/>
      <c r="CJ1425" s="50"/>
      <c r="CK1425" s="50"/>
      <c r="CL1425" s="50"/>
      <c r="CM1425" s="50"/>
      <c r="CN1425" s="50"/>
      <c r="CO1425" s="50"/>
      <c r="CP1425" s="50"/>
      <c r="CQ1425" s="50"/>
      <c r="CR1425" s="50"/>
      <c r="CS1425" s="50"/>
    </row>
    <row r="1426" spans="1:97" ht="15" thickBot="1">
      <c r="A1426" s="49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111"/>
      <c r="O1426" s="111"/>
      <c r="P1426" s="111"/>
      <c r="Q1426" s="111"/>
      <c r="R1426" s="111"/>
      <c r="S1426" s="111"/>
      <c r="T1426" s="111"/>
      <c r="U1426" s="111"/>
      <c r="V1426" s="111"/>
      <c r="W1426" s="111"/>
      <c r="X1426" s="111"/>
      <c r="Y1426" s="111"/>
      <c r="Z1426" s="111"/>
      <c r="AA1426" s="111"/>
      <c r="AB1426" s="111"/>
      <c r="AC1426" s="111"/>
      <c r="AD1426" s="111"/>
      <c r="AE1426" s="111"/>
      <c r="AF1426" s="111"/>
      <c r="AG1426" s="111"/>
      <c r="AH1426" s="111"/>
      <c r="AI1426" s="111"/>
      <c r="AJ1426" s="111"/>
      <c r="AK1426" s="111"/>
      <c r="AL1426" s="111"/>
      <c r="AM1426" s="111"/>
      <c r="AN1426" s="111"/>
      <c r="AO1426" s="111"/>
      <c r="AP1426" s="111"/>
      <c r="AQ1426" s="111"/>
      <c r="AR1426" s="111"/>
      <c r="AS1426" s="111"/>
      <c r="AT1426" s="111"/>
      <c r="AU1426" s="111"/>
      <c r="AV1426" s="50"/>
      <c r="AW1426" s="50"/>
      <c r="AX1426" s="50"/>
      <c r="AY1426" s="50"/>
      <c r="AZ1426" s="50"/>
      <c r="BA1426" s="50"/>
      <c r="BB1426" s="50"/>
      <c r="BC1426" s="50"/>
      <c r="BD1426" s="50"/>
      <c r="BE1426" s="50"/>
      <c r="BF1426" s="50"/>
      <c r="BG1426" s="50"/>
      <c r="BH1426" s="50"/>
      <c r="BI1426" s="50"/>
      <c r="BJ1426" s="50"/>
      <c r="BK1426" s="50"/>
      <c r="BL1426" s="50"/>
      <c r="BM1426" s="50"/>
      <c r="BN1426" s="50"/>
      <c r="BO1426" s="50"/>
      <c r="BP1426" s="50"/>
      <c r="BQ1426" s="50"/>
      <c r="BR1426" s="50"/>
      <c r="BS1426" s="111"/>
      <c r="BT1426" s="50"/>
      <c r="BU1426" s="50"/>
      <c r="BV1426" s="50"/>
      <c r="BW1426" s="50"/>
      <c r="BX1426" s="50"/>
      <c r="BY1426" s="50"/>
      <c r="BZ1426" s="50"/>
      <c r="CA1426" s="50"/>
      <c r="CB1426" s="50"/>
      <c r="CC1426" s="50"/>
      <c r="CD1426" s="50"/>
      <c r="CE1426" s="50"/>
      <c r="CF1426" s="50"/>
      <c r="CG1426" s="50"/>
      <c r="CH1426" s="50"/>
      <c r="CI1426" s="50"/>
      <c r="CJ1426" s="50"/>
      <c r="CK1426" s="50"/>
      <c r="CL1426" s="50"/>
      <c r="CM1426" s="50"/>
      <c r="CN1426" s="50"/>
      <c r="CO1426" s="50"/>
      <c r="CP1426" s="50"/>
      <c r="CQ1426" s="50"/>
      <c r="CR1426" s="50"/>
      <c r="CS1426" s="50"/>
    </row>
    <row r="1427" spans="1:97" ht="15" thickBot="1">
      <c r="A1427" s="49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111"/>
      <c r="O1427" s="111"/>
      <c r="P1427" s="111"/>
      <c r="Q1427" s="111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1"/>
      <c r="AF1427" s="111"/>
      <c r="AG1427" s="111"/>
      <c r="AH1427" s="111"/>
      <c r="AI1427" s="111"/>
      <c r="AJ1427" s="111"/>
      <c r="AK1427" s="111"/>
      <c r="AL1427" s="111"/>
      <c r="AM1427" s="111"/>
      <c r="AN1427" s="111"/>
      <c r="AO1427" s="111"/>
      <c r="AP1427" s="111"/>
      <c r="AQ1427" s="111"/>
      <c r="AR1427" s="111"/>
      <c r="AS1427" s="111"/>
      <c r="AT1427" s="111"/>
      <c r="AU1427" s="111"/>
      <c r="AV1427" s="50"/>
      <c r="AW1427" s="50"/>
      <c r="AX1427" s="50"/>
      <c r="AY1427" s="50"/>
      <c r="AZ1427" s="50"/>
      <c r="BA1427" s="50"/>
      <c r="BB1427" s="50"/>
      <c r="BC1427" s="50"/>
      <c r="BD1427" s="50"/>
      <c r="BE1427" s="50"/>
      <c r="BF1427" s="50"/>
      <c r="BG1427" s="50"/>
      <c r="BH1427" s="50"/>
      <c r="BI1427" s="50"/>
      <c r="BJ1427" s="50"/>
      <c r="BK1427" s="50"/>
      <c r="BL1427" s="50"/>
      <c r="BM1427" s="50"/>
      <c r="BN1427" s="50"/>
      <c r="BO1427" s="50"/>
      <c r="BP1427" s="50"/>
      <c r="BQ1427" s="50"/>
      <c r="BR1427" s="50"/>
      <c r="BS1427" s="111"/>
      <c r="BT1427" s="50"/>
      <c r="BU1427" s="50"/>
      <c r="BV1427" s="50"/>
      <c r="BW1427" s="50"/>
      <c r="BX1427" s="50"/>
      <c r="BY1427" s="50"/>
      <c r="BZ1427" s="50"/>
      <c r="CA1427" s="50"/>
      <c r="CB1427" s="50"/>
      <c r="CC1427" s="50"/>
      <c r="CD1427" s="50"/>
      <c r="CE1427" s="50"/>
      <c r="CF1427" s="50"/>
      <c r="CG1427" s="50"/>
      <c r="CH1427" s="50"/>
      <c r="CI1427" s="50"/>
      <c r="CJ1427" s="50"/>
      <c r="CK1427" s="50"/>
      <c r="CL1427" s="50"/>
      <c r="CM1427" s="50"/>
      <c r="CN1427" s="50"/>
      <c r="CO1427" s="50"/>
      <c r="CP1427" s="50"/>
      <c r="CQ1427" s="50"/>
      <c r="CR1427" s="50"/>
      <c r="CS1427" s="50"/>
    </row>
    <row r="1428" spans="1:97" ht="15" thickBot="1">
      <c r="A1428" s="49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111"/>
      <c r="O1428" s="111"/>
      <c r="P1428" s="111"/>
      <c r="Q1428" s="111"/>
      <c r="R1428" s="111"/>
      <c r="S1428" s="111"/>
      <c r="T1428" s="111"/>
      <c r="U1428" s="111"/>
      <c r="V1428" s="111"/>
      <c r="W1428" s="111"/>
      <c r="X1428" s="111"/>
      <c r="Y1428" s="111"/>
      <c r="Z1428" s="111"/>
      <c r="AA1428" s="111"/>
      <c r="AB1428" s="111"/>
      <c r="AC1428" s="111"/>
      <c r="AD1428" s="111"/>
      <c r="AE1428" s="111"/>
      <c r="AF1428" s="111"/>
      <c r="AG1428" s="111"/>
      <c r="AH1428" s="111"/>
      <c r="AI1428" s="111"/>
      <c r="AJ1428" s="111"/>
      <c r="AK1428" s="111"/>
      <c r="AL1428" s="111"/>
      <c r="AM1428" s="111"/>
      <c r="AN1428" s="111"/>
      <c r="AO1428" s="111"/>
      <c r="AP1428" s="111"/>
      <c r="AQ1428" s="111"/>
      <c r="AR1428" s="111"/>
      <c r="AS1428" s="111"/>
      <c r="AT1428" s="111"/>
      <c r="AU1428" s="111"/>
      <c r="AV1428" s="50"/>
      <c r="AW1428" s="50"/>
      <c r="AX1428" s="50"/>
      <c r="AY1428" s="50"/>
      <c r="AZ1428" s="50"/>
      <c r="BA1428" s="50"/>
      <c r="BB1428" s="50"/>
      <c r="BC1428" s="50"/>
      <c r="BD1428" s="50"/>
      <c r="BE1428" s="50"/>
      <c r="BF1428" s="50"/>
      <c r="BG1428" s="50"/>
      <c r="BH1428" s="50"/>
      <c r="BI1428" s="50"/>
      <c r="BJ1428" s="50"/>
      <c r="BK1428" s="50"/>
      <c r="BL1428" s="50"/>
      <c r="BM1428" s="50"/>
      <c r="BN1428" s="50"/>
      <c r="BO1428" s="50"/>
      <c r="BP1428" s="50"/>
      <c r="BQ1428" s="50"/>
      <c r="BR1428" s="50"/>
      <c r="BS1428" s="111"/>
      <c r="BT1428" s="50"/>
      <c r="BU1428" s="50"/>
      <c r="BV1428" s="50"/>
      <c r="BW1428" s="50"/>
      <c r="BX1428" s="50"/>
      <c r="BY1428" s="50"/>
      <c r="BZ1428" s="50"/>
      <c r="CA1428" s="50"/>
      <c r="CB1428" s="50"/>
      <c r="CC1428" s="50"/>
      <c r="CD1428" s="50"/>
      <c r="CE1428" s="50"/>
      <c r="CF1428" s="50"/>
      <c r="CG1428" s="50"/>
      <c r="CH1428" s="50"/>
      <c r="CI1428" s="50"/>
      <c r="CJ1428" s="50"/>
      <c r="CK1428" s="50"/>
      <c r="CL1428" s="50"/>
      <c r="CM1428" s="50"/>
      <c r="CN1428" s="50"/>
      <c r="CO1428" s="50"/>
      <c r="CP1428" s="50"/>
      <c r="CQ1428" s="50"/>
      <c r="CR1428" s="50"/>
      <c r="CS1428" s="50"/>
    </row>
    <row r="1429" spans="1:97" ht="15" thickBot="1">
      <c r="A1429" s="49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111"/>
      <c r="O1429" s="111"/>
      <c r="P1429" s="111"/>
      <c r="Q1429" s="111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1"/>
      <c r="AF1429" s="111"/>
      <c r="AG1429" s="111"/>
      <c r="AH1429" s="111"/>
      <c r="AI1429" s="111"/>
      <c r="AJ1429" s="111"/>
      <c r="AK1429" s="111"/>
      <c r="AL1429" s="111"/>
      <c r="AM1429" s="111"/>
      <c r="AN1429" s="111"/>
      <c r="AO1429" s="111"/>
      <c r="AP1429" s="111"/>
      <c r="AQ1429" s="111"/>
      <c r="AR1429" s="111"/>
      <c r="AS1429" s="111"/>
      <c r="AT1429" s="111"/>
      <c r="AU1429" s="111"/>
      <c r="AV1429" s="50"/>
      <c r="AW1429" s="50"/>
      <c r="AX1429" s="50"/>
      <c r="AY1429" s="50"/>
      <c r="AZ1429" s="50"/>
      <c r="BA1429" s="50"/>
      <c r="BB1429" s="50"/>
      <c r="BC1429" s="50"/>
      <c r="BD1429" s="50"/>
      <c r="BE1429" s="50"/>
      <c r="BF1429" s="50"/>
      <c r="BG1429" s="50"/>
      <c r="BH1429" s="50"/>
      <c r="BI1429" s="50"/>
      <c r="BJ1429" s="50"/>
      <c r="BK1429" s="50"/>
      <c r="BL1429" s="50"/>
      <c r="BM1429" s="50"/>
      <c r="BN1429" s="50"/>
      <c r="BO1429" s="50"/>
      <c r="BP1429" s="50"/>
      <c r="BQ1429" s="50"/>
      <c r="BR1429" s="50"/>
      <c r="BS1429" s="111"/>
      <c r="BT1429" s="50"/>
      <c r="BU1429" s="50"/>
      <c r="BV1429" s="50"/>
      <c r="BW1429" s="50"/>
      <c r="BX1429" s="50"/>
      <c r="BY1429" s="50"/>
      <c r="BZ1429" s="50"/>
      <c r="CA1429" s="50"/>
      <c r="CB1429" s="50"/>
      <c r="CC1429" s="50"/>
      <c r="CD1429" s="50"/>
      <c r="CE1429" s="50"/>
      <c r="CF1429" s="50"/>
      <c r="CG1429" s="50"/>
      <c r="CH1429" s="50"/>
      <c r="CI1429" s="50"/>
      <c r="CJ1429" s="50"/>
      <c r="CK1429" s="50"/>
      <c r="CL1429" s="50"/>
      <c r="CM1429" s="50"/>
      <c r="CN1429" s="50"/>
      <c r="CO1429" s="50"/>
      <c r="CP1429" s="50"/>
      <c r="CQ1429" s="50"/>
      <c r="CR1429" s="50"/>
      <c r="CS1429" s="50"/>
    </row>
  </sheetData>
  <autoFilter ref="A2:CS366" xr:uid="{00000000-0001-0000-0000-000000000000}"/>
  <mergeCells count="14">
    <mergeCell ref="BS1:BS2"/>
    <mergeCell ref="BV1:BV2"/>
    <mergeCell ref="BY1:BY2"/>
    <mergeCell ref="BZ1:BZ2"/>
    <mergeCell ref="AV1:BL1"/>
    <mergeCell ref="BO1:BP1"/>
    <mergeCell ref="M1:M2"/>
    <mergeCell ref="BM1:BM2"/>
    <mergeCell ref="BQ1:BQ2"/>
    <mergeCell ref="A1:H1"/>
    <mergeCell ref="I1:L1"/>
    <mergeCell ref="N1:AB1"/>
    <mergeCell ref="AC1:AJ1"/>
    <mergeCell ref="AK1:AU1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49"/>
  <sheetViews>
    <sheetView topLeftCell="A108" workbookViewId="0">
      <selection activeCell="B47" sqref="B47"/>
    </sheetView>
  </sheetViews>
  <sheetFormatPr baseColWidth="10" defaultColWidth="11" defaultRowHeight="14.4"/>
  <cols>
    <col min="1" max="1" width="27" customWidth="1"/>
    <col min="2" max="2" width="26.6640625" customWidth="1"/>
    <col min="4" max="4" width="2.33203125" customWidth="1"/>
    <col min="5" max="5" width="28" customWidth="1"/>
  </cols>
  <sheetData>
    <row r="1" spans="1:6" ht="19.5" customHeight="1">
      <c r="A1" s="178" t="s">
        <v>79</v>
      </c>
      <c r="B1" s="179"/>
      <c r="C1" s="179"/>
      <c r="D1" s="179"/>
      <c r="E1" s="179"/>
    </row>
    <row r="3" spans="1:6">
      <c r="B3" t="s">
        <v>27</v>
      </c>
      <c r="C3">
        <f>COUNT(Ambulatorio!A73:A451)</f>
        <v>294</v>
      </c>
    </row>
    <row r="4" spans="1:6">
      <c r="B4" s="168" t="s">
        <v>1</v>
      </c>
      <c r="C4" s="168"/>
      <c r="D4" s="168"/>
      <c r="E4" s="168"/>
      <c r="F4" s="168"/>
    </row>
    <row r="5" spans="1:6">
      <c r="B5" s="172" t="s">
        <v>80</v>
      </c>
      <c r="C5" s="173"/>
      <c r="D5" s="173"/>
      <c r="E5" s="173"/>
      <c r="F5" s="174"/>
    </row>
    <row r="6" spans="1:6">
      <c r="B6" s="98" t="s">
        <v>29</v>
      </c>
      <c r="C6" s="98" t="s">
        <v>30</v>
      </c>
      <c r="E6" s="98" t="s">
        <v>29</v>
      </c>
      <c r="F6" s="98" t="s">
        <v>31</v>
      </c>
    </row>
    <row r="7" spans="1:6">
      <c r="B7" s="99" t="s">
        <v>81</v>
      </c>
      <c r="C7" s="27">
        <f>COUNTIF(Ambulatorio!$I$73:$I$451,"Adulto Mayor")</f>
        <v>165</v>
      </c>
      <c r="D7" s="28"/>
      <c r="E7" s="99" t="s">
        <v>82</v>
      </c>
      <c r="F7" s="46">
        <f t="shared" ref="F7:F15" si="0">+C7/$C$16</f>
        <v>0.56122448979591832</v>
      </c>
    </row>
    <row r="8" spans="1:6" ht="14.25" customHeight="1">
      <c r="B8" s="100" t="s">
        <v>83</v>
      </c>
      <c r="C8" s="27">
        <f>COUNTIF(Ambulatorio!$I$73:$I$451,"persona con Discapacidad")</f>
        <v>1</v>
      </c>
      <c r="E8" s="100" t="s">
        <v>84</v>
      </c>
      <c r="F8" s="46">
        <f t="shared" si="0"/>
        <v>3.4013605442176869E-3</v>
      </c>
    </row>
    <row r="9" spans="1:6">
      <c r="B9" s="99" t="s">
        <v>85</v>
      </c>
      <c r="C9" s="27">
        <f>COUNTIF(Ambulatorio!$I$73:$I$451,"Indigena")</f>
        <v>0</v>
      </c>
      <c r="E9" s="99" t="s">
        <v>85</v>
      </c>
      <c r="F9" s="46">
        <f t="shared" si="0"/>
        <v>0</v>
      </c>
    </row>
    <row r="10" spans="1:6">
      <c r="B10" s="99" t="s">
        <v>86</v>
      </c>
      <c r="C10" s="27">
        <f>COUNTIF(Ambulatorio!$I$73:$I$451,"LGBTIQ+")</f>
        <v>0</v>
      </c>
      <c r="E10" s="99" t="s">
        <v>86</v>
      </c>
      <c r="F10" s="46">
        <f t="shared" si="0"/>
        <v>0</v>
      </c>
    </row>
    <row r="11" spans="1:6">
      <c r="B11" s="99" t="s">
        <v>87</v>
      </c>
      <c r="C11" s="27">
        <f>COUNTIF(Ambulatorio!$I$73:$I$451,"Mujer Embarazada")</f>
        <v>7</v>
      </c>
      <c r="E11" s="99" t="s">
        <v>87</v>
      </c>
      <c r="F11" s="46">
        <f t="shared" si="0"/>
        <v>2.3809523809523808E-2</v>
      </c>
    </row>
    <row r="12" spans="1:6">
      <c r="B12" s="99" t="s">
        <v>88</v>
      </c>
      <c r="C12" s="27">
        <f>COUNTIF(Ambulatorio!$I$73:$I$484,"Menor de un año")</f>
        <v>0</v>
      </c>
      <c r="E12" s="99" t="s">
        <v>88</v>
      </c>
      <c r="F12" s="46">
        <f>+C12/C16</f>
        <v>0</v>
      </c>
    </row>
    <row r="13" spans="1:6">
      <c r="B13" s="99" t="s">
        <v>89</v>
      </c>
      <c r="C13" s="27">
        <f>COUNTIF(Ambulatorio!$I$73:$I$451,"Victima del Conflicto Armado")</f>
        <v>1</v>
      </c>
      <c r="E13" s="99" t="s">
        <v>90</v>
      </c>
      <c r="F13" s="46">
        <f t="shared" si="0"/>
        <v>3.4013605442176869E-3</v>
      </c>
    </row>
    <row r="14" spans="1:6">
      <c r="B14" s="99" t="s">
        <v>91</v>
      </c>
      <c r="C14" s="27">
        <f>COUNTIF(Ambulatorio!$I$73:$I$451,"No")</f>
        <v>99</v>
      </c>
      <c r="E14" s="99" t="s">
        <v>91</v>
      </c>
      <c r="F14" s="46">
        <f t="shared" si="0"/>
        <v>0.33673469387755101</v>
      </c>
    </row>
    <row r="15" spans="1:6">
      <c r="B15" s="99" t="s">
        <v>92</v>
      </c>
      <c r="C15" s="27">
        <f>COUNTIF(Ambulatorio!$I$73:$I$451,"Otra")</f>
        <v>21</v>
      </c>
      <c r="E15" s="99" t="s">
        <v>92</v>
      </c>
      <c r="F15" s="46">
        <f t="shared" si="0"/>
        <v>7.1428571428571425E-2</v>
      </c>
    </row>
    <row r="16" spans="1:6">
      <c r="C16" s="97">
        <f>SUM(C7:C15)</f>
        <v>294</v>
      </c>
    </row>
    <row r="20" spans="1:6">
      <c r="A20" s="178"/>
      <c r="B20" s="179"/>
      <c r="C20" s="179"/>
      <c r="D20" s="179"/>
      <c r="E20" s="179"/>
    </row>
    <row r="22" spans="1:6">
      <c r="B22" t="s">
        <v>27</v>
      </c>
      <c r="C22" s="25">
        <f>COUNTA(Hospitalización!$A$3:$A$501)</f>
        <v>49</v>
      </c>
    </row>
    <row r="23" spans="1:6">
      <c r="B23" s="170" t="s">
        <v>15</v>
      </c>
      <c r="C23" s="170"/>
      <c r="D23" s="170"/>
      <c r="E23" s="170"/>
      <c r="F23" s="170"/>
    </row>
    <row r="24" spans="1:6">
      <c r="B24" s="175" t="s">
        <v>80</v>
      </c>
      <c r="C24" s="176"/>
      <c r="D24" s="176"/>
      <c r="E24" s="176"/>
      <c r="F24" s="177"/>
    </row>
    <row r="25" spans="1:6">
      <c r="B25" s="101" t="s">
        <v>29</v>
      </c>
      <c r="C25" s="101" t="s">
        <v>30</v>
      </c>
      <c r="E25" s="101" t="s">
        <v>29</v>
      </c>
      <c r="F25" s="101" t="s">
        <v>31</v>
      </c>
    </row>
    <row r="26" spans="1:6">
      <c r="B26" s="99" t="s">
        <v>81</v>
      </c>
      <c r="C26" s="27">
        <f>COUNTIF(Hospitalización!$I$3:$I$501,"Adulto Mayor")</f>
        <v>17</v>
      </c>
      <c r="D26" s="28"/>
      <c r="E26" s="99" t="s">
        <v>81</v>
      </c>
      <c r="F26" s="46">
        <f>+C26/$C$35</f>
        <v>0.34693877551020408</v>
      </c>
    </row>
    <row r="27" spans="1:6" ht="16.5" customHeight="1">
      <c r="B27" s="100" t="s">
        <v>83</v>
      </c>
      <c r="C27" s="27">
        <f>COUNTIF(Hospitalización!$I$3:$I$501,"Persona con Discapacidad")</f>
        <v>0</v>
      </c>
      <c r="E27" s="100" t="s">
        <v>84</v>
      </c>
      <c r="F27" s="46">
        <f t="shared" ref="F27:F34" si="1">+C27/$C$35</f>
        <v>0</v>
      </c>
    </row>
    <row r="28" spans="1:6">
      <c r="B28" s="99" t="s">
        <v>85</v>
      </c>
      <c r="C28" s="27">
        <f>COUNTIF(Hospitalización!$I$3:$I$501,"Indigena")</f>
        <v>0</v>
      </c>
      <c r="E28" s="99" t="s">
        <v>85</v>
      </c>
      <c r="F28" s="46">
        <f t="shared" si="1"/>
        <v>0</v>
      </c>
    </row>
    <row r="29" spans="1:6">
      <c r="B29" s="99" t="s">
        <v>86</v>
      </c>
      <c r="C29" s="27">
        <f>COUNTIF(Hospitalización!$I$3:$I$501,"LGTBIQ+")</f>
        <v>0</v>
      </c>
      <c r="E29" s="99" t="s">
        <v>86</v>
      </c>
      <c r="F29" s="46">
        <f t="shared" si="1"/>
        <v>0</v>
      </c>
    </row>
    <row r="30" spans="1:6">
      <c r="B30" s="99" t="s">
        <v>87</v>
      </c>
      <c r="C30" s="27">
        <f>COUNTIF(Hospitalización!$I$3:$I$501,"Mujer Embarazada")</f>
        <v>6</v>
      </c>
      <c r="E30" s="99" t="s">
        <v>87</v>
      </c>
      <c r="F30" s="46">
        <f t="shared" si="1"/>
        <v>0.12244897959183673</v>
      </c>
    </row>
    <row r="31" spans="1:6">
      <c r="B31" s="99" t="s">
        <v>89</v>
      </c>
      <c r="C31" s="27">
        <f>COUNTIF(Hospitalización!$I$3:$I$501,"Victima del Conflicto Armado")</f>
        <v>0</v>
      </c>
      <c r="E31" s="99" t="s">
        <v>89</v>
      </c>
      <c r="F31" s="46">
        <f t="shared" si="1"/>
        <v>0</v>
      </c>
    </row>
    <row r="32" spans="1:6">
      <c r="B32" s="99" t="s">
        <v>88</v>
      </c>
      <c r="C32" s="27">
        <f>COUNTIF(Hospitalización!$I$3:$I$501,"Menor de un año")</f>
        <v>0</v>
      </c>
      <c r="E32" s="99" t="s">
        <v>88</v>
      </c>
      <c r="F32" s="46">
        <f t="shared" si="1"/>
        <v>0</v>
      </c>
    </row>
    <row r="33" spans="1:6">
      <c r="B33" s="99" t="s">
        <v>91</v>
      </c>
      <c r="C33" s="27">
        <f>COUNTIF(Hospitalización!$I$3:$I$501,"No")</f>
        <v>26</v>
      </c>
      <c r="E33" s="99" t="s">
        <v>91</v>
      </c>
      <c r="F33" s="46">
        <f t="shared" si="1"/>
        <v>0.53061224489795922</v>
      </c>
    </row>
    <row r="34" spans="1:6">
      <c r="B34" s="99" t="s">
        <v>92</v>
      </c>
      <c r="C34" s="27">
        <f>COUNTIF(Hospitalización!$I$3:$I$501,"Otra")</f>
        <v>0</v>
      </c>
      <c r="E34" s="99" t="s">
        <v>92</v>
      </c>
      <c r="F34" s="46">
        <f t="shared" si="1"/>
        <v>0</v>
      </c>
    </row>
    <row r="35" spans="1:6">
      <c r="C35" s="17">
        <f>SUM(C26:C34)</f>
        <v>49</v>
      </c>
    </row>
    <row r="38" spans="1:6">
      <c r="A38" s="164" t="s">
        <v>41</v>
      </c>
      <c r="B38" s="164"/>
      <c r="C38" s="164"/>
    </row>
    <row r="39" spans="1:6">
      <c r="A39" s="165" t="s">
        <v>80</v>
      </c>
      <c r="B39" s="166"/>
      <c r="C39" s="167"/>
    </row>
    <row r="40" spans="1:6">
      <c r="A40" s="102" t="s">
        <v>29</v>
      </c>
      <c r="B40" s="103" t="s">
        <v>42</v>
      </c>
      <c r="C40" s="16" t="s">
        <v>43</v>
      </c>
    </row>
    <row r="41" spans="1:6">
      <c r="A41" s="99" t="s">
        <v>81</v>
      </c>
      <c r="B41" s="104">
        <f>F7</f>
        <v>0.56122448979591832</v>
      </c>
      <c r="C41" s="46">
        <f t="shared" ref="C41:C49" si="2">F26</f>
        <v>0.34693877551020408</v>
      </c>
    </row>
    <row r="42" spans="1:6" ht="18" customHeight="1">
      <c r="A42" s="100" t="s">
        <v>84</v>
      </c>
      <c r="B42" s="104">
        <f>F8</f>
        <v>3.4013605442176869E-3</v>
      </c>
      <c r="C42" s="46">
        <f t="shared" si="2"/>
        <v>0</v>
      </c>
    </row>
    <row r="43" spans="1:6">
      <c r="A43" s="99" t="s">
        <v>85</v>
      </c>
      <c r="B43" s="104">
        <f>F9</f>
        <v>0</v>
      </c>
      <c r="C43" s="46">
        <f t="shared" si="2"/>
        <v>0</v>
      </c>
    </row>
    <row r="44" spans="1:6">
      <c r="A44" s="99" t="s">
        <v>86</v>
      </c>
      <c r="B44" s="104">
        <f>F10</f>
        <v>0</v>
      </c>
      <c r="C44" s="46">
        <f t="shared" si="2"/>
        <v>0</v>
      </c>
    </row>
    <row r="45" spans="1:6">
      <c r="A45" s="99" t="s">
        <v>87</v>
      </c>
      <c r="B45" s="104">
        <f>F11</f>
        <v>2.3809523809523808E-2</v>
      </c>
      <c r="C45" s="46">
        <f t="shared" si="2"/>
        <v>0.12244897959183673</v>
      </c>
    </row>
    <row r="46" spans="1:6">
      <c r="A46" s="99" t="s">
        <v>89</v>
      </c>
      <c r="B46" s="104">
        <f>F13</f>
        <v>3.4013605442176869E-3</v>
      </c>
      <c r="C46" s="46">
        <f t="shared" si="2"/>
        <v>0</v>
      </c>
    </row>
    <row r="47" spans="1:6">
      <c r="A47" s="99" t="s">
        <v>88</v>
      </c>
      <c r="B47" s="104"/>
      <c r="C47" s="46">
        <f t="shared" si="2"/>
        <v>0</v>
      </c>
    </row>
    <row r="48" spans="1:6">
      <c r="A48" s="99" t="s">
        <v>91</v>
      </c>
      <c r="B48" s="104">
        <f>F14</f>
        <v>0.33673469387755101</v>
      </c>
      <c r="C48" s="46">
        <f t="shared" si="2"/>
        <v>0.53061224489795922</v>
      </c>
    </row>
    <row r="49" spans="1:3">
      <c r="A49" s="99" t="s">
        <v>92</v>
      </c>
      <c r="B49" s="104">
        <f>F15</f>
        <v>7.1428571428571425E-2</v>
      </c>
      <c r="C49" s="46">
        <f t="shared" si="2"/>
        <v>0</v>
      </c>
    </row>
  </sheetData>
  <mergeCells count="8">
    <mergeCell ref="B24:F24"/>
    <mergeCell ref="A38:C38"/>
    <mergeCell ref="A39:C39"/>
    <mergeCell ref="A1:E1"/>
    <mergeCell ref="B4:F4"/>
    <mergeCell ref="B5:F5"/>
    <mergeCell ref="A20:E20"/>
    <mergeCell ref="B23:F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1"/>
  <sheetViews>
    <sheetView workbookViewId="0">
      <selection activeCell="C7" sqref="C7"/>
    </sheetView>
  </sheetViews>
  <sheetFormatPr baseColWidth="10" defaultColWidth="11.33203125" defaultRowHeight="14.4"/>
  <cols>
    <col min="1" max="1" width="1.109375" customWidth="1"/>
    <col min="2" max="2" width="20.6640625" customWidth="1"/>
    <col min="3" max="3" width="14.6640625" customWidth="1"/>
    <col min="4" max="4" width="2.33203125" customWidth="1"/>
  </cols>
  <sheetData>
    <row r="1" spans="2:6">
      <c r="B1" s="41" t="s">
        <v>93</v>
      </c>
    </row>
    <row r="2" spans="2:6">
      <c r="C2" s="1"/>
    </row>
    <row r="3" spans="2:6">
      <c r="B3" t="s">
        <v>27</v>
      </c>
      <c r="C3">
        <f>COUNT(Ambulatorio!A73:A452)</f>
        <v>294</v>
      </c>
    </row>
    <row r="4" spans="2:6">
      <c r="B4" s="180" t="s">
        <v>1</v>
      </c>
      <c r="C4" s="180"/>
      <c r="D4" s="180"/>
      <c r="E4" s="180"/>
      <c r="F4" s="180"/>
    </row>
    <row r="5" spans="2:6" ht="32.25" customHeight="1">
      <c r="B5" s="181" t="s">
        <v>94</v>
      </c>
      <c r="C5" s="181"/>
      <c r="E5" s="181" t="s">
        <v>94</v>
      </c>
      <c r="F5" s="181"/>
    </row>
    <row r="6" spans="2:6">
      <c r="B6" s="27" t="s">
        <v>95</v>
      </c>
      <c r="C6" s="6">
        <f>COUNTIF(Ambulatorio!K73:K483,"Si")</f>
        <v>197</v>
      </c>
      <c r="E6" s="27" t="s">
        <v>95</v>
      </c>
      <c r="F6" s="96">
        <f>+C6/$C$9</f>
        <v>0.67006802721088432</v>
      </c>
    </row>
    <row r="7" spans="2:6">
      <c r="B7" s="27" t="s">
        <v>96</v>
      </c>
      <c r="C7" s="6">
        <f>COUNTIF(Ambulatorio!$K$73:$K$451,"NO")</f>
        <v>3</v>
      </c>
      <c r="E7" s="27" t="s">
        <v>96</v>
      </c>
      <c r="F7" s="96">
        <f>+C7/$C$9</f>
        <v>1.020408163265306E-2</v>
      </c>
    </row>
    <row r="8" spans="2:6">
      <c r="B8" s="27" t="s">
        <v>97</v>
      </c>
      <c r="C8" s="6">
        <f>COUNTIFS(Ambulatorio!$K$73:$K$451,"NO APLICA")</f>
        <v>94</v>
      </c>
      <c r="E8" s="27" t="s">
        <v>97</v>
      </c>
      <c r="F8" s="96">
        <f>+C8/$C$9</f>
        <v>0.31972789115646261</v>
      </c>
    </row>
    <row r="9" spans="2:6">
      <c r="C9" s="11">
        <f>SUM(C6:C8)</f>
        <v>294</v>
      </c>
    </row>
    <row r="15" spans="2:6">
      <c r="B15" t="s">
        <v>27</v>
      </c>
      <c r="C15" s="25">
        <f>COUNTA(Hospitalización!$A$3:$A$501)</f>
        <v>49</v>
      </c>
    </row>
    <row r="16" spans="2:6">
      <c r="B16" s="170" t="s">
        <v>15</v>
      </c>
      <c r="C16" s="170"/>
      <c r="D16" s="170"/>
      <c r="E16" s="170"/>
      <c r="F16" s="170"/>
    </row>
    <row r="17" spans="2:6" ht="27.75" customHeight="1">
      <c r="B17" s="181" t="s">
        <v>94</v>
      </c>
      <c r="C17" s="181"/>
      <c r="E17" s="181" t="s">
        <v>94</v>
      </c>
      <c r="F17" s="181"/>
    </row>
    <row r="18" spans="2:6">
      <c r="B18" s="27" t="s">
        <v>95</v>
      </c>
      <c r="C18" s="6">
        <f>COUNTIF(Hospitalización!$K$3:$K$501,"Si")</f>
        <v>24</v>
      </c>
      <c r="E18" s="27" t="s">
        <v>95</v>
      </c>
      <c r="F18" s="96">
        <f>+C18/$C$21</f>
        <v>0.48979591836734693</v>
      </c>
    </row>
    <row r="19" spans="2:6">
      <c r="B19" s="27" t="s">
        <v>96</v>
      </c>
      <c r="C19" s="6">
        <f>COUNTIF(Hospitalización!$K$3:$K$501,"No")</f>
        <v>0</v>
      </c>
      <c r="E19" s="27" t="s">
        <v>96</v>
      </c>
      <c r="F19" s="96">
        <f>+C19/$C$21</f>
        <v>0</v>
      </c>
    </row>
    <row r="20" spans="2:6">
      <c r="B20" s="27" t="s">
        <v>97</v>
      </c>
      <c r="C20" s="6">
        <f>COUNTIF(Hospitalización!$K$3:$K$501,"No Aplica")</f>
        <v>25</v>
      </c>
      <c r="E20" s="27" t="s">
        <v>97</v>
      </c>
      <c r="F20" s="96">
        <f>+C20/$C$21</f>
        <v>0.51020408163265307</v>
      </c>
    </row>
    <row r="21" spans="2:6">
      <c r="C21" s="97">
        <f>SUM(C18:C20)</f>
        <v>49</v>
      </c>
    </row>
  </sheetData>
  <mergeCells count="6">
    <mergeCell ref="B4:F4"/>
    <mergeCell ref="B5:C5"/>
    <mergeCell ref="E5:F5"/>
    <mergeCell ref="B16:F16"/>
    <mergeCell ref="B17:C17"/>
    <mergeCell ref="E17:F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A28"/>
  <sheetViews>
    <sheetView topLeftCell="P1" workbookViewId="0">
      <selection activeCell="AD45" sqref="AD45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5" max="5" width="13.6640625" customWidth="1"/>
    <col min="6" max="6" width="12.33203125" customWidth="1"/>
    <col min="8" max="8" width="13.33203125" customWidth="1"/>
    <col min="12" max="12" width="16" customWidth="1"/>
    <col min="13" max="13" width="15" customWidth="1"/>
    <col min="14" max="14" width="1.6640625" customWidth="1"/>
    <col min="15" max="15" width="15.33203125" customWidth="1"/>
    <col min="18" max="18" width="12.33203125" customWidth="1"/>
    <col min="19" max="19" width="13.109375" customWidth="1"/>
    <col min="22" max="22" width="15.33203125" customWidth="1"/>
    <col min="26" max="26" width="20" customWidth="1"/>
    <col min="27" max="27" width="14.109375" customWidth="1"/>
  </cols>
  <sheetData>
    <row r="1" spans="1:27">
      <c r="A1" s="41" t="s">
        <v>98</v>
      </c>
    </row>
    <row r="5" spans="1:27" ht="35.4" customHeight="1">
      <c r="B5" s="182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O5" s="25"/>
      <c r="P5" s="182" t="s">
        <v>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</row>
    <row r="6" spans="1:27" ht="66">
      <c r="B6" s="90" t="s">
        <v>99</v>
      </c>
      <c r="C6" s="90" t="s">
        <v>100</v>
      </c>
      <c r="D6" s="90" t="s">
        <v>101</v>
      </c>
      <c r="E6" s="90" t="s">
        <v>102</v>
      </c>
      <c r="F6" s="90" t="s">
        <v>103</v>
      </c>
      <c r="G6" s="90" t="s">
        <v>104</v>
      </c>
      <c r="H6" s="90" t="s">
        <v>105</v>
      </c>
      <c r="I6" s="90" t="s">
        <v>106</v>
      </c>
      <c r="J6" s="90" t="s">
        <v>107</v>
      </c>
      <c r="K6" s="90" t="s">
        <v>108</v>
      </c>
      <c r="L6" s="90" t="s">
        <v>109</v>
      </c>
      <c r="M6" s="90" t="s">
        <v>110</v>
      </c>
      <c r="O6" s="25"/>
      <c r="P6" s="90" t="s">
        <v>99</v>
      </c>
      <c r="Q6" s="90" t="s">
        <v>100</v>
      </c>
      <c r="R6" s="90" t="s">
        <v>101</v>
      </c>
      <c r="S6" s="90" t="s">
        <v>102</v>
      </c>
      <c r="T6" s="90" t="s">
        <v>103</v>
      </c>
      <c r="U6" s="90" t="s">
        <v>104</v>
      </c>
      <c r="V6" s="90" t="s">
        <v>105</v>
      </c>
      <c r="W6" s="90" t="s">
        <v>106</v>
      </c>
      <c r="X6" s="90" t="s">
        <v>107</v>
      </c>
      <c r="Y6" s="90" t="s">
        <v>108</v>
      </c>
      <c r="Z6" s="90" t="s">
        <v>109</v>
      </c>
      <c r="AA6" s="90" t="s">
        <v>110</v>
      </c>
    </row>
    <row r="7" spans="1:27">
      <c r="A7" s="5" t="s">
        <v>111</v>
      </c>
      <c r="B7" s="27">
        <f>COUNTIF(Ambulatorio!$N$73:$N$483,"8")</f>
        <v>0</v>
      </c>
      <c r="C7" s="27">
        <f>COUNTIF(Ambulatorio!$O$73:$O$483,"8")</f>
        <v>0</v>
      </c>
      <c r="D7" s="27">
        <f>COUNTIF(Ambulatorio!$P$73:$P$483,"8")</f>
        <v>0</v>
      </c>
      <c r="E7" s="27">
        <f>COUNTIF(Ambulatorio!$Q$73:$Q$483,"8")</f>
        <v>0</v>
      </c>
      <c r="F7" s="27">
        <f>COUNTIF(Ambulatorio!$R$73:$R$483,"8")</f>
        <v>0</v>
      </c>
      <c r="G7" s="27">
        <f>COUNTIF(Ambulatorio!$S$73:$S$483,"8")</f>
        <v>0</v>
      </c>
      <c r="H7" s="27">
        <f>COUNTIF(Ambulatorio!$T$73:$T$483,"8")</f>
        <v>0</v>
      </c>
      <c r="I7" s="27">
        <f>COUNTIF(Ambulatorio!$U$73:$U$483,"8")</f>
        <v>0</v>
      </c>
      <c r="J7" s="27">
        <f>COUNTIF(Ambulatorio!$V$73:$V$483,"8")</f>
        <v>0</v>
      </c>
      <c r="K7" s="27">
        <f>COUNTIF(Ambulatorio!$W$73:$W$483,"8")</f>
        <v>0</v>
      </c>
      <c r="L7" s="27">
        <f>COUNTIF(Ambulatorio!$X$73:$X$483,"8")</f>
        <v>0</v>
      </c>
      <c r="M7" s="27">
        <f>COUNTIF(Ambulatorio!$Y$73:$Y$483,"8")</f>
        <v>0</v>
      </c>
      <c r="O7" s="5" t="s">
        <v>111</v>
      </c>
      <c r="P7" s="85">
        <f t="shared" ref="P7:P14" si="0">+B7/$B$15</f>
        <v>0</v>
      </c>
      <c r="Q7" s="85">
        <f t="shared" ref="Q7:Q14" si="1">+C7/$C$15</f>
        <v>0</v>
      </c>
      <c r="R7" s="85">
        <f t="shared" ref="R7:R14" si="2">+D7/$D$15</f>
        <v>0</v>
      </c>
      <c r="S7" s="85">
        <f t="shared" ref="S7:S14" si="3">+E7/$E$15</f>
        <v>0</v>
      </c>
      <c r="T7" s="85">
        <f t="shared" ref="T7:T14" si="4">+F7/$F$15</f>
        <v>0</v>
      </c>
      <c r="U7" s="85">
        <f t="shared" ref="U7:U14" si="5">+G7/$G$15</f>
        <v>0</v>
      </c>
      <c r="V7" s="85">
        <f t="shared" ref="V7:V14" si="6">+H7/$H$15</f>
        <v>0</v>
      </c>
      <c r="W7" s="85">
        <f t="shared" ref="W7:W14" si="7">+I7/$I$15</f>
        <v>0</v>
      </c>
      <c r="X7" s="85">
        <f t="shared" ref="X7:X14" si="8">+J7/$J$15</f>
        <v>0</v>
      </c>
      <c r="Y7" s="85">
        <f t="shared" ref="Y7:Y14" si="9">+K7/$K$15</f>
        <v>0</v>
      </c>
      <c r="Z7" s="85">
        <f t="shared" ref="Z7:Z14" si="10">+L7/$L$15</f>
        <v>0</v>
      </c>
      <c r="AA7" s="85">
        <f t="shared" ref="AA7:AA14" si="11">+M7/$M$15</f>
        <v>0</v>
      </c>
    </row>
    <row r="8" spans="1:27" ht="26.4">
      <c r="A8" s="5" t="s">
        <v>112</v>
      </c>
      <c r="B8" s="27">
        <f>COUNTIF(Ambulatorio!$N$73:$N$483,"7")</f>
        <v>0</v>
      </c>
      <c r="C8" s="27">
        <f>COUNTIF(Ambulatorio!$O$73:$O$483,"7")</f>
        <v>0</v>
      </c>
      <c r="D8" s="27">
        <f>COUNTIF(Ambulatorio!$P$73:$P$483,"7")</f>
        <v>0</v>
      </c>
      <c r="E8" s="27">
        <f>COUNTIF(Ambulatorio!$Q$73:$Q$483,"7")</f>
        <v>1</v>
      </c>
      <c r="F8" s="27">
        <f>COUNTIF(Ambulatorio!$R$73:$R$483,"7")</f>
        <v>1</v>
      </c>
      <c r="G8" s="27">
        <f>COUNTIF(Ambulatorio!$S$73:$S$483,"7")</f>
        <v>2</v>
      </c>
      <c r="H8" s="27">
        <f>COUNTIF(Ambulatorio!$T$73:$T$483,"7")</f>
        <v>0</v>
      </c>
      <c r="I8" s="27">
        <f>COUNTIF(Ambulatorio!$U$73:$U$483,"7")</f>
        <v>0</v>
      </c>
      <c r="J8" s="27">
        <f>COUNTIF(Ambulatorio!$V$73:$V$483,"7")</f>
        <v>1</v>
      </c>
      <c r="K8" s="27">
        <f>COUNTIF(Ambulatorio!$W$73:$W$483,"7")</f>
        <v>1</v>
      </c>
      <c r="L8" s="27">
        <f>COUNTIF(Ambulatorio!$X$73:$X$483,"7")</f>
        <v>1</v>
      </c>
      <c r="M8" s="27">
        <f>COUNTIF(Ambulatorio!$Y$73:$Y$483,"7")</f>
        <v>1</v>
      </c>
      <c r="O8" s="5" t="s">
        <v>112</v>
      </c>
      <c r="P8" s="85">
        <f t="shared" si="0"/>
        <v>0</v>
      </c>
      <c r="Q8" s="85">
        <f t="shared" si="1"/>
        <v>0</v>
      </c>
      <c r="R8" s="85">
        <f t="shared" si="2"/>
        <v>0</v>
      </c>
      <c r="S8" s="85">
        <f t="shared" si="3"/>
        <v>3.4013605442176869E-3</v>
      </c>
      <c r="T8" s="85">
        <f t="shared" si="4"/>
        <v>3.4013605442176869E-3</v>
      </c>
      <c r="U8" s="85">
        <f t="shared" si="5"/>
        <v>6.8027210884353739E-3</v>
      </c>
      <c r="V8" s="85">
        <f t="shared" si="6"/>
        <v>0</v>
      </c>
      <c r="W8" s="85">
        <f t="shared" si="7"/>
        <v>0</v>
      </c>
      <c r="X8" s="85">
        <f t="shared" si="8"/>
        <v>3.4013605442176869E-3</v>
      </c>
      <c r="Y8" s="85">
        <f t="shared" si="9"/>
        <v>3.4013605442176869E-3</v>
      </c>
      <c r="Z8" s="85">
        <f t="shared" si="10"/>
        <v>3.4013605442176869E-3</v>
      </c>
      <c r="AA8" s="85">
        <f t="shared" si="11"/>
        <v>3.4013605442176869E-3</v>
      </c>
    </row>
    <row r="9" spans="1:27">
      <c r="A9" s="77" t="s">
        <v>113</v>
      </c>
      <c r="B9" s="27">
        <f>COUNTIF(Ambulatorio!$N$73:$N$483,"6")</f>
        <v>4</v>
      </c>
      <c r="C9" s="27">
        <f>COUNTIF(Ambulatorio!$O$73:$O$483,"6")</f>
        <v>3</v>
      </c>
      <c r="D9" s="27">
        <f>COUNTIF(Ambulatorio!$P$73:$P$483,"6")</f>
        <v>1</v>
      </c>
      <c r="E9" s="27">
        <f>COUNTIF(Ambulatorio!$Q$73:$Q$483,"6")</f>
        <v>24</v>
      </c>
      <c r="F9" s="27">
        <f>COUNTIF(Ambulatorio!$R$73:$R$483,"6")</f>
        <v>68</v>
      </c>
      <c r="G9" s="27">
        <f>COUNTIF(Ambulatorio!$S$73:$S$483,"6")</f>
        <v>126</v>
      </c>
      <c r="H9" s="27">
        <f>COUNTIF(Ambulatorio!$T$73:$T$483,"6")</f>
        <v>0</v>
      </c>
      <c r="I9" s="27">
        <f>COUNTIF(Ambulatorio!$U$73:$U$483,"6")</f>
        <v>1</v>
      </c>
      <c r="J9" s="27">
        <f>COUNTIF(Ambulatorio!$V$73:$V$483,"6")</f>
        <v>129</v>
      </c>
      <c r="K9" s="27">
        <f>COUNTIF(Ambulatorio!$W$73:$W$483,"6")</f>
        <v>130</v>
      </c>
      <c r="L9" s="27">
        <f>COUNTIF(Ambulatorio!$X$73:$X$483,"6")</f>
        <v>130</v>
      </c>
      <c r="M9" s="27">
        <f>COUNTIF(Ambulatorio!$Y$73:$Y$483,"6")</f>
        <v>131</v>
      </c>
      <c r="O9" s="77" t="s">
        <v>113</v>
      </c>
      <c r="P9" s="85">
        <f t="shared" si="0"/>
        <v>1.3605442176870748E-2</v>
      </c>
      <c r="Q9" s="85">
        <f t="shared" si="1"/>
        <v>1.020408163265306E-2</v>
      </c>
      <c r="R9" s="85">
        <f t="shared" si="2"/>
        <v>3.4013605442176869E-3</v>
      </c>
      <c r="S9" s="85">
        <f t="shared" si="3"/>
        <v>8.1632653061224483E-2</v>
      </c>
      <c r="T9" s="85">
        <f t="shared" si="4"/>
        <v>0.23129251700680273</v>
      </c>
      <c r="U9" s="85">
        <f t="shared" si="5"/>
        <v>0.42857142857142855</v>
      </c>
      <c r="V9" s="85">
        <f t="shared" si="6"/>
        <v>0</v>
      </c>
      <c r="W9" s="85">
        <f t="shared" si="7"/>
        <v>3.4013605442176869E-3</v>
      </c>
      <c r="X9" s="85">
        <f t="shared" si="8"/>
        <v>0.43877551020408162</v>
      </c>
      <c r="Y9" s="85">
        <f t="shared" si="9"/>
        <v>0.44217687074829931</v>
      </c>
      <c r="Z9" s="85">
        <f t="shared" si="10"/>
        <v>0.44217687074829931</v>
      </c>
      <c r="AA9" s="85">
        <f t="shared" si="11"/>
        <v>0.445578231292517</v>
      </c>
    </row>
    <row r="10" spans="1:27">
      <c r="A10" s="77" t="s">
        <v>114</v>
      </c>
      <c r="B10" s="27">
        <f>COUNTIF(Ambulatorio!$N$73:$N$483,"5")</f>
        <v>286</v>
      </c>
      <c r="C10" s="27">
        <f>COUNTIF(Ambulatorio!$O$73:$O$483,"5")</f>
        <v>284</v>
      </c>
      <c r="D10" s="27">
        <f>COUNTIF(Ambulatorio!$P$73:$P$483,"5")</f>
        <v>289</v>
      </c>
      <c r="E10" s="27">
        <f>COUNTIF(Ambulatorio!$Q$73:$Q$483,"5")</f>
        <v>265</v>
      </c>
      <c r="F10" s="27">
        <f>COUNTIF(Ambulatorio!$R$73:$R$483,"5")</f>
        <v>224</v>
      </c>
      <c r="G10" s="27">
        <f>COUNTIF(Ambulatorio!$S$73:$S$483,"5")</f>
        <v>164</v>
      </c>
      <c r="H10" s="27">
        <f>COUNTIF(Ambulatorio!$T$73:$T$483,"5")</f>
        <v>264</v>
      </c>
      <c r="I10" s="27">
        <f>COUNTIF(Ambulatorio!$U$73:$U$483,"5")</f>
        <v>286</v>
      </c>
      <c r="J10" s="27">
        <f>COUNTIF(Ambulatorio!$V$73:$V$483,"5")</f>
        <v>161</v>
      </c>
      <c r="K10" s="27">
        <f>COUNTIF(Ambulatorio!$W$73:$W$483,"5")</f>
        <v>160</v>
      </c>
      <c r="L10" s="27">
        <f>COUNTIF(Ambulatorio!$X$73:$X$483,"5")</f>
        <v>159</v>
      </c>
      <c r="M10" s="27">
        <f>COUNTIF(Ambulatorio!$Y$73:$Y$483,"5")</f>
        <v>159</v>
      </c>
      <c r="O10" s="77" t="s">
        <v>114</v>
      </c>
      <c r="P10" s="85">
        <f t="shared" si="0"/>
        <v>0.97278911564625847</v>
      </c>
      <c r="Q10" s="85">
        <f t="shared" si="1"/>
        <v>0.96598639455782309</v>
      </c>
      <c r="R10" s="85">
        <f t="shared" si="2"/>
        <v>0.98299319727891155</v>
      </c>
      <c r="S10" s="85">
        <f t="shared" si="3"/>
        <v>0.90136054421768708</v>
      </c>
      <c r="T10" s="85">
        <f t="shared" si="4"/>
        <v>0.76190476190476186</v>
      </c>
      <c r="U10" s="85">
        <f t="shared" si="5"/>
        <v>0.55782312925170063</v>
      </c>
      <c r="V10" s="85">
        <f t="shared" si="6"/>
        <v>0.89795918367346939</v>
      </c>
      <c r="W10" s="85">
        <f t="shared" si="7"/>
        <v>0.97278911564625847</v>
      </c>
      <c r="X10" s="85">
        <f t="shared" si="8"/>
        <v>0.54761904761904767</v>
      </c>
      <c r="Y10" s="85">
        <f t="shared" si="9"/>
        <v>0.54421768707482998</v>
      </c>
      <c r="Z10" s="85">
        <f t="shared" si="10"/>
        <v>0.54081632653061229</v>
      </c>
      <c r="AA10" s="85">
        <f t="shared" si="11"/>
        <v>0.54081632653061229</v>
      </c>
    </row>
    <row r="11" spans="1:27">
      <c r="A11" s="77" t="s">
        <v>115</v>
      </c>
      <c r="B11" s="27">
        <f>COUNTIF(Ambulatorio!$N$73:$N$483,"4")</f>
        <v>3</v>
      </c>
      <c r="C11" s="27">
        <f>COUNTIF(Ambulatorio!$O$73:$O$483,"4")</f>
        <v>5</v>
      </c>
      <c r="D11" s="27">
        <f>COUNTIF(Ambulatorio!$P$73:$P$483,"4")</f>
        <v>3</v>
      </c>
      <c r="E11" s="27">
        <f>COUNTIF(Ambulatorio!$Q$73:$Q$483,"4")</f>
        <v>4</v>
      </c>
      <c r="F11" s="27">
        <f>COUNTIF(Ambulatorio!$R$73:$R$483,"4")</f>
        <v>1</v>
      </c>
      <c r="G11" s="27">
        <f>COUNTIF(Ambulatorio!$S$73:$S$483,"4")</f>
        <v>1</v>
      </c>
      <c r="H11" s="27">
        <f>COUNTIF(Ambulatorio!$T$73:$T$483,"4")</f>
        <v>25</v>
      </c>
      <c r="I11" s="27">
        <f>COUNTIF(Ambulatorio!$U$73:$U$483,"4")</f>
        <v>6</v>
      </c>
      <c r="J11" s="27">
        <f>COUNTIF(Ambulatorio!$V$73:$V$483,"4")</f>
        <v>2</v>
      </c>
      <c r="K11" s="27">
        <f>COUNTIF(Ambulatorio!$W$73:$W$483,"4")</f>
        <v>2</v>
      </c>
      <c r="L11" s="27">
        <f>COUNTIF(Ambulatorio!$X$73:$X$483,"4")</f>
        <v>2</v>
      </c>
      <c r="M11" s="27">
        <f>COUNTIF(Ambulatorio!$Y$73:$Y$483,"4")</f>
        <v>2</v>
      </c>
      <c r="O11" s="77" t="s">
        <v>115</v>
      </c>
      <c r="P11" s="85">
        <f t="shared" si="0"/>
        <v>1.020408163265306E-2</v>
      </c>
      <c r="Q11" s="85">
        <f t="shared" si="1"/>
        <v>1.7006802721088437E-2</v>
      </c>
      <c r="R11" s="85">
        <f t="shared" si="2"/>
        <v>1.020408163265306E-2</v>
      </c>
      <c r="S11" s="85">
        <f t="shared" si="3"/>
        <v>1.3605442176870748E-2</v>
      </c>
      <c r="T11" s="85">
        <f t="shared" si="4"/>
        <v>3.4013605442176869E-3</v>
      </c>
      <c r="U11" s="85">
        <f t="shared" si="5"/>
        <v>3.4013605442176869E-3</v>
      </c>
      <c r="V11" s="85">
        <f t="shared" si="6"/>
        <v>8.5034013605442174E-2</v>
      </c>
      <c r="W11" s="85">
        <f t="shared" si="7"/>
        <v>2.0408163265306121E-2</v>
      </c>
      <c r="X11" s="85">
        <f t="shared" si="8"/>
        <v>6.8027210884353739E-3</v>
      </c>
      <c r="Y11" s="85">
        <f t="shared" si="9"/>
        <v>6.8027210884353739E-3</v>
      </c>
      <c r="Z11" s="85">
        <f t="shared" si="10"/>
        <v>6.8027210884353739E-3</v>
      </c>
      <c r="AA11" s="85">
        <f t="shared" si="11"/>
        <v>6.8027210884353739E-3</v>
      </c>
    </row>
    <row r="12" spans="1:27">
      <c r="A12" s="77" t="s">
        <v>116</v>
      </c>
      <c r="B12" s="27">
        <f>COUNTIF(Ambulatorio!$N$73:$N$483,"3")</f>
        <v>1</v>
      </c>
      <c r="C12" s="27">
        <f>COUNTIF(Ambulatorio!$O$73:$O$483,"3")</f>
        <v>2</v>
      </c>
      <c r="D12" s="27">
        <f>COUNTIF(Ambulatorio!$P$73:$P$483,"3")</f>
        <v>1</v>
      </c>
      <c r="E12" s="27">
        <f>COUNTIF(Ambulatorio!$Q$73:$Q$483,"3")</f>
        <v>0</v>
      </c>
      <c r="F12" s="27">
        <f>COUNTIF(Ambulatorio!$R$73:$R$483,"3")</f>
        <v>0</v>
      </c>
      <c r="G12" s="27">
        <f>COUNTIF(Ambulatorio!$S$73:$S$483,"3")</f>
        <v>1</v>
      </c>
      <c r="H12" s="27">
        <f>COUNTIF(Ambulatorio!$T$73:$T$483,"3")</f>
        <v>5</v>
      </c>
      <c r="I12" s="27">
        <f>COUNTIF(Ambulatorio!$U$73:$U$483,"3")</f>
        <v>1</v>
      </c>
      <c r="J12" s="27">
        <f>COUNTIF(Ambulatorio!$V$73:$V$483,"3")</f>
        <v>1</v>
      </c>
      <c r="K12" s="27">
        <f>COUNTIF(Ambulatorio!$W$73:$W$483,"3")</f>
        <v>1</v>
      </c>
      <c r="L12" s="27">
        <f>COUNTIF(Ambulatorio!$X$73:$X$483,"3")</f>
        <v>2</v>
      </c>
      <c r="M12" s="27">
        <f>COUNTIF(Ambulatorio!$Y$73:$Y$483,"3")</f>
        <v>1</v>
      </c>
      <c r="O12" s="77" t="s">
        <v>116</v>
      </c>
      <c r="P12" s="85">
        <f t="shared" si="0"/>
        <v>3.4013605442176869E-3</v>
      </c>
      <c r="Q12" s="85">
        <f t="shared" si="1"/>
        <v>6.8027210884353739E-3</v>
      </c>
      <c r="R12" s="85">
        <f t="shared" si="2"/>
        <v>3.4013605442176869E-3</v>
      </c>
      <c r="S12" s="85">
        <f t="shared" si="3"/>
        <v>0</v>
      </c>
      <c r="T12" s="85">
        <f t="shared" si="4"/>
        <v>0</v>
      </c>
      <c r="U12" s="85">
        <f t="shared" si="5"/>
        <v>3.4013605442176869E-3</v>
      </c>
      <c r="V12" s="85">
        <f t="shared" si="6"/>
        <v>1.7006802721088437E-2</v>
      </c>
      <c r="W12" s="85">
        <f t="shared" si="7"/>
        <v>3.4013605442176869E-3</v>
      </c>
      <c r="X12" s="85">
        <f t="shared" si="8"/>
        <v>3.4013605442176869E-3</v>
      </c>
      <c r="Y12" s="85">
        <f t="shared" si="9"/>
        <v>3.4013605442176869E-3</v>
      </c>
      <c r="Z12" s="85">
        <f t="shared" si="10"/>
        <v>6.8027210884353739E-3</v>
      </c>
      <c r="AA12" s="85">
        <f t="shared" si="11"/>
        <v>3.4013605442176869E-3</v>
      </c>
    </row>
    <row r="13" spans="1:27">
      <c r="A13" s="77" t="s">
        <v>117</v>
      </c>
      <c r="B13" s="27">
        <f>COUNTIF(Ambulatorio!$N$73:$N$483,"2")</f>
        <v>0</v>
      </c>
      <c r="C13" s="27">
        <f>COUNTIF(Ambulatorio!$O$73:$O$483,"2")</f>
        <v>0</v>
      </c>
      <c r="D13" s="27">
        <f>COUNTIF(Ambulatorio!$Q$73:$Q$483,"2")</f>
        <v>0</v>
      </c>
      <c r="E13" s="27">
        <f>COUNTIF(Ambulatorio!$Q$73:$Q$483,"2")</f>
        <v>0</v>
      </c>
      <c r="F13" s="27">
        <f>COUNTIF(Ambulatorio!$R$73:$R$483,"2")</f>
        <v>0</v>
      </c>
      <c r="G13" s="27">
        <f>COUNTIF(Ambulatorio!$S$73:$S$483,"2")</f>
        <v>0</v>
      </c>
      <c r="H13" s="27">
        <f>COUNTIF(Ambulatorio!$T$73:$T$483,"2")</f>
        <v>0</v>
      </c>
      <c r="I13" s="27">
        <f>COUNTIF(Ambulatorio!$U$73:$U$483,"2")</f>
        <v>0</v>
      </c>
      <c r="J13" s="27">
        <f>COUNTIF(Ambulatorio!$V$73:$V$483,"2")</f>
        <v>0</v>
      </c>
      <c r="K13" s="27">
        <f>COUNTIF(Ambulatorio!$W$73:$W$483,"2")</f>
        <v>0</v>
      </c>
      <c r="L13" s="27">
        <f>COUNTIF(Ambulatorio!$X$73:$X$483,"2")</f>
        <v>0</v>
      </c>
      <c r="M13" s="27">
        <f>COUNTIF(Ambulatorio!$Y$73:$Y$483,"2")</f>
        <v>0</v>
      </c>
      <c r="O13" s="77" t="s">
        <v>117</v>
      </c>
      <c r="P13" s="85">
        <f t="shared" si="0"/>
        <v>0</v>
      </c>
      <c r="Q13" s="85">
        <f t="shared" si="1"/>
        <v>0</v>
      </c>
      <c r="R13" s="85">
        <f t="shared" si="2"/>
        <v>0</v>
      </c>
      <c r="S13" s="85">
        <f t="shared" si="3"/>
        <v>0</v>
      </c>
      <c r="T13" s="85">
        <f t="shared" si="4"/>
        <v>0</v>
      </c>
      <c r="U13" s="85">
        <f t="shared" si="5"/>
        <v>0</v>
      </c>
      <c r="V13" s="85">
        <f t="shared" si="6"/>
        <v>0</v>
      </c>
      <c r="W13" s="85">
        <f t="shared" si="7"/>
        <v>0</v>
      </c>
      <c r="X13" s="85">
        <f t="shared" si="8"/>
        <v>0</v>
      </c>
      <c r="Y13" s="85">
        <f t="shared" si="9"/>
        <v>0</v>
      </c>
      <c r="Z13" s="85">
        <f t="shared" si="10"/>
        <v>0</v>
      </c>
      <c r="AA13" s="85">
        <f t="shared" si="11"/>
        <v>0</v>
      </c>
    </row>
    <row r="14" spans="1:27">
      <c r="A14" s="77" t="s">
        <v>118</v>
      </c>
      <c r="B14" s="27">
        <f>COUNTIF(Ambulatorio!$N$73:$N$483,"1")</f>
        <v>0</v>
      </c>
      <c r="C14" s="27">
        <f>COUNTIF(Ambulatorio!$O$73:$O$483,"1")</f>
        <v>0</v>
      </c>
      <c r="D14" s="27">
        <f>COUNTIF(Ambulatorio!$Q$73:$Q$483,"1")</f>
        <v>0</v>
      </c>
      <c r="E14" s="27">
        <f>COUNTIF(Ambulatorio!$Q$73:$Q$483,"1")</f>
        <v>0</v>
      </c>
      <c r="F14" s="27">
        <f>COUNTIF(Ambulatorio!$R$73:$R$483,"1")</f>
        <v>0</v>
      </c>
      <c r="G14" s="27">
        <f>COUNTIF(Ambulatorio!$S$73:$S$483,"1")</f>
        <v>0</v>
      </c>
      <c r="H14" s="27">
        <f>COUNTIF(Ambulatorio!$T$73:$T$483,"1")</f>
        <v>0</v>
      </c>
      <c r="I14" s="27">
        <f>COUNTIF(Ambulatorio!$U$73:$U$483,"1")</f>
        <v>0</v>
      </c>
      <c r="J14" s="27">
        <f>COUNTIF(Ambulatorio!$V$73:$V$483,"1")</f>
        <v>0</v>
      </c>
      <c r="K14" s="27">
        <f>COUNTIF(Ambulatorio!$W$73:$W$483,"1")</f>
        <v>0</v>
      </c>
      <c r="L14" s="27">
        <f>COUNTIF(Ambulatorio!$X$73:$X$483,"1")</f>
        <v>0</v>
      </c>
      <c r="M14" s="27">
        <f>COUNTIF(Ambulatorio!$Y$73:$Y$483,"1")</f>
        <v>0</v>
      </c>
      <c r="O14" s="77" t="s">
        <v>118</v>
      </c>
      <c r="P14" s="85">
        <f t="shared" si="0"/>
        <v>0</v>
      </c>
      <c r="Q14" s="85">
        <f t="shared" si="1"/>
        <v>0</v>
      </c>
      <c r="R14" s="85">
        <f t="shared" si="2"/>
        <v>0</v>
      </c>
      <c r="S14" s="85">
        <f t="shared" si="3"/>
        <v>0</v>
      </c>
      <c r="T14" s="85">
        <f t="shared" si="4"/>
        <v>0</v>
      </c>
      <c r="U14" s="85">
        <f t="shared" si="5"/>
        <v>0</v>
      </c>
      <c r="V14" s="85">
        <f t="shared" si="6"/>
        <v>0</v>
      </c>
      <c r="W14" s="85">
        <f t="shared" si="7"/>
        <v>0</v>
      </c>
      <c r="X14" s="85">
        <f t="shared" si="8"/>
        <v>0</v>
      </c>
      <c r="Y14" s="85">
        <f t="shared" si="9"/>
        <v>0</v>
      </c>
      <c r="Z14" s="85">
        <f t="shared" si="10"/>
        <v>0</v>
      </c>
      <c r="AA14" s="85">
        <f t="shared" si="11"/>
        <v>0</v>
      </c>
    </row>
    <row r="15" spans="1:27">
      <c r="B15" s="25">
        <f>SUM(B7:B14)</f>
        <v>294</v>
      </c>
      <c r="C15" s="25">
        <f t="shared" ref="C15:M15" si="12">SUM(C8:C14)</f>
        <v>294</v>
      </c>
      <c r="D15" s="25">
        <f t="shared" si="12"/>
        <v>294</v>
      </c>
      <c r="E15" s="25">
        <f t="shared" si="12"/>
        <v>294</v>
      </c>
      <c r="F15" s="25">
        <f t="shared" si="12"/>
        <v>294</v>
      </c>
      <c r="G15" s="25">
        <f t="shared" si="12"/>
        <v>294</v>
      </c>
      <c r="H15" s="25">
        <f t="shared" si="12"/>
        <v>294</v>
      </c>
      <c r="I15" s="25">
        <f t="shared" si="12"/>
        <v>294</v>
      </c>
      <c r="J15" s="25">
        <f t="shared" si="12"/>
        <v>294</v>
      </c>
      <c r="K15" s="25">
        <f t="shared" si="12"/>
        <v>294</v>
      </c>
      <c r="L15" s="25">
        <f t="shared" si="12"/>
        <v>294</v>
      </c>
      <c r="M15" s="25">
        <f t="shared" si="12"/>
        <v>294</v>
      </c>
    </row>
    <row r="16" spans="1:27">
      <c r="R16" s="93"/>
    </row>
    <row r="18" spans="1:27" ht="35.4" customHeight="1">
      <c r="B18" s="183" t="s">
        <v>15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O18" s="25"/>
      <c r="P18" s="183" t="s">
        <v>15</v>
      </c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33.75" customHeight="1">
      <c r="B19" s="91" t="s">
        <v>119</v>
      </c>
      <c r="C19" s="91" t="s">
        <v>120</v>
      </c>
      <c r="D19" s="91" t="s">
        <v>121</v>
      </c>
      <c r="E19" s="91" t="s">
        <v>122</v>
      </c>
      <c r="F19" s="91" t="s">
        <v>123</v>
      </c>
      <c r="G19" s="91" t="s">
        <v>124</v>
      </c>
      <c r="H19" s="91" t="s">
        <v>125</v>
      </c>
      <c r="I19" s="91" t="s">
        <v>126</v>
      </c>
      <c r="J19" s="91" t="s">
        <v>127</v>
      </c>
      <c r="K19" s="91" t="s">
        <v>128</v>
      </c>
      <c r="L19" s="91" t="s">
        <v>129</v>
      </c>
      <c r="M19" s="91" t="s">
        <v>130</v>
      </c>
      <c r="O19" s="25"/>
      <c r="P19" s="92" t="s">
        <v>119</v>
      </c>
      <c r="Q19" s="94" t="s">
        <v>120</v>
      </c>
      <c r="R19" s="94" t="s">
        <v>121</v>
      </c>
      <c r="S19" s="94" t="s">
        <v>122</v>
      </c>
      <c r="T19" s="94" t="s">
        <v>123</v>
      </c>
      <c r="U19" s="94" t="s">
        <v>124</v>
      </c>
      <c r="V19" s="94" t="s">
        <v>125</v>
      </c>
      <c r="W19" s="94" t="s">
        <v>126</v>
      </c>
      <c r="X19" s="94" t="s">
        <v>127</v>
      </c>
      <c r="Y19" s="94" t="s">
        <v>128</v>
      </c>
      <c r="Z19" s="94" t="s">
        <v>129</v>
      </c>
      <c r="AA19" s="95" t="s">
        <v>130</v>
      </c>
    </row>
    <row r="20" spans="1:27">
      <c r="A20" s="5" t="s">
        <v>111</v>
      </c>
      <c r="B20" s="44">
        <f>COUNTIF(Hospitalización!$N$3:$N$501,"8")</f>
        <v>0</v>
      </c>
      <c r="C20" s="44">
        <f>COUNTIF(Hospitalización!$O$3:$O$501,"8")</f>
        <v>0</v>
      </c>
      <c r="D20" s="44">
        <f>COUNTIF(Hospitalización!$P$3:$P$501,"8")</f>
        <v>0</v>
      </c>
      <c r="E20" s="44">
        <f>COUNTIF(Hospitalización!$Q$3:$Q$501,"8")</f>
        <v>0</v>
      </c>
      <c r="F20" s="44">
        <f>COUNTIF(Hospitalización!$R$3:$R$501,"8")</f>
        <v>0</v>
      </c>
      <c r="G20" s="44">
        <f>COUNTIF(Hospitalización!$S$3:$S$501,"8")</f>
        <v>0</v>
      </c>
      <c r="H20" s="44">
        <f>COUNTIF(Hospitalización!$T$3:$T$501,"8")</f>
        <v>0</v>
      </c>
      <c r="I20" s="44">
        <f>COUNTIF(Hospitalización!$U$3:$U$501,"8")</f>
        <v>0</v>
      </c>
      <c r="J20" s="44">
        <f>COUNTIF(Hospitalización!$V$3:$V$501,"8")</f>
        <v>0</v>
      </c>
      <c r="K20" s="44">
        <f>COUNTIF(Hospitalización!$W$3:$W$501,"8")</f>
        <v>0</v>
      </c>
      <c r="L20" s="44">
        <f>COUNTIF(Hospitalización!$X$3:$X$501,"8")</f>
        <v>0</v>
      </c>
      <c r="M20" s="44">
        <f>COUNTIF(Hospitalización!$Y$3:$Y$501,"8")</f>
        <v>0</v>
      </c>
      <c r="O20" s="5" t="s">
        <v>111</v>
      </c>
      <c r="P20" s="46">
        <f t="shared" ref="P20:P27" si="13">+B20/$B$28</f>
        <v>0</v>
      </c>
      <c r="Q20" s="46">
        <f t="shared" ref="Q20:Q27" si="14">+C20/$C$28</f>
        <v>0</v>
      </c>
      <c r="R20" s="46">
        <f t="shared" ref="R20:R27" si="15">+D20/$D$28</f>
        <v>0</v>
      </c>
      <c r="S20" s="46">
        <f t="shared" ref="S20:S27" si="16">+E20/$E$28</f>
        <v>0</v>
      </c>
      <c r="T20" s="46">
        <f t="shared" ref="T20:T27" si="17">+F20/$F$28</f>
        <v>0</v>
      </c>
      <c r="U20" s="46">
        <f t="shared" ref="U20:U27" si="18">+G20/$G$28</f>
        <v>0</v>
      </c>
      <c r="V20" s="46">
        <f t="shared" ref="V20:V27" si="19">+H20/$H$28</f>
        <v>0</v>
      </c>
      <c r="W20" s="46">
        <f t="shared" ref="W20:W27" si="20">+I20/$I$28</f>
        <v>0</v>
      </c>
      <c r="X20" s="46">
        <f t="shared" ref="X20:X27" si="21">+J20/$J$28</f>
        <v>0</v>
      </c>
      <c r="Y20" s="46">
        <f t="shared" ref="Y20:Y27" si="22">+K20/$K$28</f>
        <v>0</v>
      </c>
      <c r="Z20" s="46">
        <f t="shared" ref="Z20:Z27" si="23">+L20/$L$28</f>
        <v>0</v>
      </c>
      <c r="AA20" s="46">
        <f t="shared" ref="AA20:AA27" si="24">+M20/$M$28</f>
        <v>0</v>
      </c>
    </row>
    <row r="21" spans="1:27" ht="26.4">
      <c r="A21" s="5" t="s">
        <v>112</v>
      </c>
      <c r="B21" s="27">
        <f>COUNTIF(Hospitalización!$N$3:$N$501,"7")</f>
        <v>0</v>
      </c>
      <c r="C21" s="27">
        <f>COUNTIF(Hospitalización!$O$3:$O$501,"7")</f>
        <v>0</v>
      </c>
      <c r="D21" s="27">
        <f>COUNTIF(Hospitalización!$P$3:$P$501,"7")</f>
        <v>0</v>
      </c>
      <c r="E21" s="27">
        <f>COUNTIF(Hospitalización!$Q$3:$Q$501,"7")</f>
        <v>0</v>
      </c>
      <c r="F21" s="27">
        <f>COUNTIF(Hospitalización!$R$3:$R$501,"7")</f>
        <v>0</v>
      </c>
      <c r="G21" s="27">
        <f>COUNTIF(Hospitalización!$S$3:$S$501,"7")</f>
        <v>0</v>
      </c>
      <c r="H21" s="27">
        <f>COUNTIF(Hospitalización!$T$3:$T$501,"7")</f>
        <v>0</v>
      </c>
      <c r="I21" s="27">
        <f>COUNTIF(Hospitalización!$U$3:$U$501,"7")</f>
        <v>0</v>
      </c>
      <c r="J21" s="27">
        <f>COUNTIF(Hospitalización!$V$3:$V$501,"7")</f>
        <v>0</v>
      </c>
      <c r="K21" s="27">
        <f>COUNTIF(Hospitalización!$W$3:$W$501,"7")</f>
        <v>0</v>
      </c>
      <c r="L21" s="27">
        <f>COUNTIF(Hospitalización!$X$3:$X$501,"7")</f>
        <v>0</v>
      </c>
      <c r="M21" s="27">
        <f>COUNTIF(Hospitalización!$Y$3:$Y$501,"7")</f>
        <v>0</v>
      </c>
      <c r="O21" s="5" t="s">
        <v>112</v>
      </c>
      <c r="P21" s="46">
        <f t="shared" si="13"/>
        <v>0</v>
      </c>
      <c r="Q21" s="46">
        <f t="shared" si="14"/>
        <v>0</v>
      </c>
      <c r="R21" s="46">
        <f t="shared" si="15"/>
        <v>0</v>
      </c>
      <c r="S21" s="46">
        <f t="shared" si="16"/>
        <v>0</v>
      </c>
      <c r="T21" s="46">
        <f t="shared" si="17"/>
        <v>0</v>
      </c>
      <c r="U21" s="46">
        <f t="shared" si="18"/>
        <v>0</v>
      </c>
      <c r="V21" s="46">
        <f t="shared" si="19"/>
        <v>0</v>
      </c>
      <c r="W21" s="46">
        <f t="shared" si="20"/>
        <v>0</v>
      </c>
      <c r="X21" s="46">
        <f t="shared" si="21"/>
        <v>0</v>
      </c>
      <c r="Y21" s="46">
        <f t="shared" si="22"/>
        <v>0</v>
      </c>
      <c r="Z21" s="46">
        <f t="shared" si="23"/>
        <v>0</v>
      </c>
      <c r="AA21" s="46">
        <f t="shared" si="24"/>
        <v>0</v>
      </c>
    </row>
    <row r="22" spans="1:27">
      <c r="A22" s="77" t="s">
        <v>113</v>
      </c>
      <c r="B22" s="27">
        <f>COUNTIF(Hospitalización!$N$3:$N$501,"6")</f>
        <v>0</v>
      </c>
      <c r="C22" s="27">
        <f>COUNTIF(Hospitalización!$O$3:$O$501,"6")</f>
        <v>0</v>
      </c>
      <c r="D22" s="27">
        <f>COUNTIF(Hospitalización!$P$3:$P$501,"6")</f>
        <v>0</v>
      </c>
      <c r="E22" s="27">
        <f>COUNTIF(Hospitalización!$Q$3:$Q$501,"6")</f>
        <v>0</v>
      </c>
      <c r="F22" s="27">
        <f>COUNTIF(Hospitalización!$R$3:$R$501,"6")</f>
        <v>0</v>
      </c>
      <c r="G22" s="27">
        <f>COUNTIF(Hospitalización!$S$3:$S$501,"6")</f>
        <v>6</v>
      </c>
      <c r="H22" s="27">
        <f>COUNTIF(Hospitalización!$T$3:$T$501,"6")</f>
        <v>6</v>
      </c>
      <c r="I22" s="27">
        <f>COUNTIF(Hospitalización!$U$3:$U$501,"6")</f>
        <v>5</v>
      </c>
      <c r="J22" s="27">
        <f>COUNTIF(Hospitalización!$V$3:$V$501,"6")</f>
        <v>0</v>
      </c>
      <c r="K22" s="27">
        <f>COUNTIF(Hospitalización!$W$3:$W$501,"6")</f>
        <v>3</v>
      </c>
      <c r="L22" s="27">
        <f>COUNTIF(Hospitalización!$X$3:$X$501,"6")</f>
        <v>9</v>
      </c>
      <c r="M22" s="27">
        <f>COUNTIF(Hospitalización!$Y$3:$Y$501,"6")</f>
        <v>5</v>
      </c>
      <c r="O22" s="77" t="s">
        <v>113</v>
      </c>
      <c r="P22" s="46">
        <f t="shared" si="13"/>
        <v>0</v>
      </c>
      <c r="Q22" s="46">
        <f t="shared" si="14"/>
        <v>0</v>
      </c>
      <c r="R22" s="46">
        <f t="shared" si="15"/>
        <v>0</v>
      </c>
      <c r="S22" s="46">
        <f t="shared" si="16"/>
        <v>0</v>
      </c>
      <c r="T22" s="46">
        <f t="shared" si="17"/>
        <v>0</v>
      </c>
      <c r="U22" s="46">
        <f t="shared" si="18"/>
        <v>0.12244897959183673</v>
      </c>
      <c r="V22" s="46">
        <f t="shared" si="19"/>
        <v>0.12244897959183673</v>
      </c>
      <c r="W22" s="46">
        <f t="shared" si="20"/>
        <v>0.10204081632653061</v>
      </c>
      <c r="X22" s="46">
        <f t="shared" si="21"/>
        <v>0</v>
      </c>
      <c r="Y22" s="46">
        <f t="shared" si="22"/>
        <v>6.1224489795918366E-2</v>
      </c>
      <c r="Z22" s="46">
        <f t="shared" si="23"/>
        <v>0.18367346938775511</v>
      </c>
      <c r="AA22" s="46">
        <f t="shared" si="24"/>
        <v>0.10204081632653061</v>
      </c>
    </row>
    <row r="23" spans="1:27">
      <c r="A23" s="77" t="s">
        <v>114</v>
      </c>
      <c r="B23" s="27">
        <f>COUNTIF(Hospitalización!$N$3:$N$501,"5")</f>
        <v>44</v>
      </c>
      <c r="C23" s="27">
        <f>COUNTIF(Hospitalización!$O$3:$O$501,"5")</f>
        <v>44</v>
      </c>
      <c r="D23" s="27">
        <f>COUNTIF(Hospitalización!$P$3:$P$501,"5")</f>
        <v>44</v>
      </c>
      <c r="E23" s="27">
        <f>COUNTIF(Hospitalización!$Q$3:$Q$501,"5")</f>
        <v>44</v>
      </c>
      <c r="F23" s="27">
        <f>COUNTIF(Hospitalización!$R$3:$R$501,"5")</f>
        <v>44</v>
      </c>
      <c r="G23" s="27">
        <f>COUNTIF(Hospitalización!$S$3:$S$501,"5")</f>
        <v>38</v>
      </c>
      <c r="H23" s="27">
        <f>COUNTIF(Hospitalización!$T$3:$T$501,"5")</f>
        <v>38</v>
      </c>
      <c r="I23" s="27">
        <f>COUNTIF(Hospitalización!$U$3:$U$501,"5")</f>
        <v>39</v>
      </c>
      <c r="J23" s="27">
        <f>COUNTIF(Hospitalización!$V$3:$V$501,"5")</f>
        <v>44</v>
      </c>
      <c r="K23" s="27">
        <f>COUNTIF(Hospitalización!$W$3:$W$501,"5")</f>
        <v>41</v>
      </c>
      <c r="L23" s="27">
        <f>COUNTIF(Hospitalización!$X$3:$X$501,"5")</f>
        <v>35</v>
      </c>
      <c r="M23" s="27">
        <f>COUNTIF(Hospitalización!$Y$3:$Y$501,"5")</f>
        <v>39</v>
      </c>
      <c r="O23" s="77" t="s">
        <v>114</v>
      </c>
      <c r="P23" s="46">
        <f t="shared" si="13"/>
        <v>0.89795918367346939</v>
      </c>
      <c r="Q23" s="46">
        <f t="shared" si="14"/>
        <v>0.89795918367346939</v>
      </c>
      <c r="R23" s="46">
        <f t="shared" si="15"/>
        <v>0.89795918367346939</v>
      </c>
      <c r="S23" s="46">
        <f t="shared" si="16"/>
        <v>0.89795918367346939</v>
      </c>
      <c r="T23" s="46">
        <f t="shared" si="17"/>
        <v>0.89795918367346939</v>
      </c>
      <c r="U23" s="46">
        <f t="shared" si="18"/>
        <v>0.77551020408163263</v>
      </c>
      <c r="V23" s="46">
        <f t="shared" si="19"/>
        <v>0.77551020408163263</v>
      </c>
      <c r="W23" s="46">
        <f t="shared" si="20"/>
        <v>0.79591836734693877</v>
      </c>
      <c r="X23" s="46">
        <f t="shared" si="21"/>
        <v>0.89795918367346939</v>
      </c>
      <c r="Y23" s="46">
        <f t="shared" si="22"/>
        <v>0.83673469387755106</v>
      </c>
      <c r="Z23" s="46">
        <f t="shared" si="23"/>
        <v>0.7142857142857143</v>
      </c>
      <c r="AA23" s="46">
        <f t="shared" si="24"/>
        <v>0.79591836734693877</v>
      </c>
    </row>
    <row r="24" spans="1:27">
      <c r="A24" s="77" t="s">
        <v>115</v>
      </c>
      <c r="B24" s="27">
        <f>COUNTIF(Hospitalización!$N$3:$N$501,"4")</f>
        <v>5</v>
      </c>
      <c r="C24" s="27">
        <f>COUNTIF(Hospitalización!$O$3:$O$501,"4")</f>
        <v>5</v>
      </c>
      <c r="D24" s="27">
        <f>COUNTIF(Hospitalización!$P$3:$P$501,"4")</f>
        <v>5</v>
      </c>
      <c r="E24" s="27">
        <f>COUNTIF(Hospitalización!$Q$3:$Q$501,"4")</f>
        <v>5</v>
      </c>
      <c r="F24" s="27">
        <f>COUNTIF(Hospitalización!$R$3:$R$501,"4")</f>
        <v>5</v>
      </c>
      <c r="G24" s="27">
        <f>COUNTIF(Hospitalización!$S$3:$S$501,"4")</f>
        <v>5</v>
      </c>
      <c r="H24" s="27">
        <f>COUNTIF(Hospitalización!$T$3:$T$501,"4")</f>
        <v>5</v>
      </c>
      <c r="I24" s="27">
        <f>COUNTIF(Hospitalización!$U$3:$U$501,"4")</f>
        <v>5</v>
      </c>
      <c r="J24" s="27">
        <f>COUNTIF(Hospitalización!$V$3:$V$501,"4")</f>
        <v>5</v>
      </c>
      <c r="K24" s="27">
        <f>COUNTIF(Hospitalización!$W$3:$W$501,"4")</f>
        <v>5</v>
      </c>
      <c r="L24" s="27">
        <f>COUNTIF(Hospitalización!$X$3:$X$501,"4")</f>
        <v>5</v>
      </c>
      <c r="M24" s="27">
        <f>COUNTIF(Hospitalización!$Y$3:$Y$501,"4")</f>
        <v>5</v>
      </c>
      <c r="O24" s="77" t="s">
        <v>115</v>
      </c>
      <c r="P24" s="46">
        <f t="shared" si="13"/>
        <v>0.10204081632653061</v>
      </c>
      <c r="Q24" s="46">
        <f t="shared" si="14"/>
        <v>0.10204081632653061</v>
      </c>
      <c r="R24" s="46">
        <f t="shared" si="15"/>
        <v>0.10204081632653061</v>
      </c>
      <c r="S24" s="46">
        <f t="shared" si="16"/>
        <v>0.10204081632653061</v>
      </c>
      <c r="T24" s="46">
        <f t="shared" si="17"/>
        <v>0.10204081632653061</v>
      </c>
      <c r="U24" s="46">
        <f t="shared" si="18"/>
        <v>0.10204081632653061</v>
      </c>
      <c r="V24" s="46">
        <f t="shared" si="19"/>
        <v>0.10204081632653061</v>
      </c>
      <c r="W24" s="46">
        <f t="shared" si="20"/>
        <v>0.10204081632653061</v>
      </c>
      <c r="X24" s="46">
        <f t="shared" si="21"/>
        <v>0.10204081632653061</v>
      </c>
      <c r="Y24" s="46">
        <f t="shared" si="22"/>
        <v>0.10204081632653061</v>
      </c>
      <c r="Z24" s="46">
        <f t="shared" si="23"/>
        <v>0.10204081632653061</v>
      </c>
      <c r="AA24" s="46">
        <f t="shared" si="24"/>
        <v>0.10204081632653061</v>
      </c>
    </row>
    <row r="25" spans="1:27">
      <c r="A25" s="77" t="s">
        <v>116</v>
      </c>
      <c r="B25" s="27">
        <f>COUNTIF(Hospitalización!$N$3:$N$501,"3")</f>
        <v>0</v>
      </c>
      <c r="C25" s="27">
        <f>COUNTIF(Hospitalización!$O$3:$O$501,"3")</f>
        <v>0</v>
      </c>
      <c r="D25" s="27">
        <f>COUNTIF(Hospitalización!$P$3:$P$501,"3")</f>
        <v>0</v>
      </c>
      <c r="E25" s="27">
        <f>COUNTIF(Hospitalización!$Q$3:$Q$501,"3")</f>
        <v>0</v>
      </c>
      <c r="F25" s="27">
        <f>COUNTIF(Hospitalización!$R$3:$R$501,"3")</f>
        <v>0</v>
      </c>
      <c r="G25" s="27">
        <f>COUNTIF(Hospitalización!$S$3:$S$501,"3")</f>
        <v>0</v>
      </c>
      <c r="H25" s="27">
        <f>COUNTIF(Hospitalización!$T$3:$T$501,"3")</f>
        <v>0</v>
      </c>
      <c r="I25" s="27">
        <f>COUNTIF(Hospitalización!$U$3:$U$501,"3")</f>
        <v>0</v>
      </c>
      <c r="J25" s="27">
        <f>COUNTIF(Hospitalización!$V$3:$V$501,"3")</f>
        <v>0</v>
      </c>
      <c r="K25" s="27">
        <f>COUNTIF(Hospitalización!$W$3:$W$501,"3")</f>
        <v>0</v>
      </c>
      <c r="L25" s="27">
        <f>COUNTIF(Hospitalización!$X$3:$X$501,"3")</f>
        <v>0</v>
      </c>
      <c r="M25" s="27">
        <f>COUNTIF(Hospitalización!$Y$3:$Y$501,"3")</f>
        <v>0</v>
      </c>
      <c r="O25" s="77" t="s">
        <v>116</v>
      </c>
      <c r="P25" s="46">
        <f t="shared" si="13"/>
        <v>0</v>
      </c>
      <c r="Q25" s="46">
        <f t="shared" si="14"/>
        <v>0</v>
      </c>
      <c r="R25" s="46">
        <f t="shared" si="15"/>
        <v>0</v>
      </c>
      <c r="S25" s="46">
        <f t="shared" si="16"/>
        <v>0</v>
      </c>
      <c r="T25" s="46">
        <f t="shared" si="17"/>
        <v>0</v>
      </c>
      <c r="U25" s="46">
        <f t="shared" si="18"/>
        <v>0</v>
      </c>
      <c r="V25" s="46">
        <f t="shared" si="19"/>
        <v>0</v>
      </c>
      <c r="W25" s="46">
        <f t="shared" si="20"/>
        <v>0</v>
      </c>
      <c r="X25" s="46">
        <f t="shared" si="21"/>
        <v>0</v>
      </c>
      <c r="Y25" s="46">
        <f t="shared" si="22"/>
        <v>0</v>
      </c>
      <c r="Z25" s="46">
        <f t="shared" si="23"/>
        <v>0</v>
      </c>
      <c r="AA25" s="46">
        <f t="shared" si="24"/>
        <v>0</v>
      </c>
    </row>
    <row r="26" spans="1:27">
      <c r="A26" s="77" t="s">
        <v>117</v>
      </c>
      <c r="B26" s="27">
        <f>COUNTIF(Hospitalización!$N$3:$N$501,"2")</f>
        <v>0</v>
      </c>
      <c r="C26" s="27">
        <f>COUNTIF(Hospitalización!$O$3:$O$501,"2")</f>
        <v>0</v>
      </c>
      <c r="D26" s="27">
        <f>COUNTIF(Hospitalización!$P$3:$P$501,"2")</f>
        <v>0</v>
      </c>
      <c r="E26" s="27">
        <f>COUNTIF(Hospitalización!$Q$3:$Q$501,"2")</f>
        <v>0</v>
      </c>
      <c r="F26" s="27">
        <f>COUNTIF(Hospitalización!$R$3:$R$501,"2")</f>
        <v>0</v>
      </c>
      <c r="G26" s="27">
        <f>COUNTIF(Hospitalización!$S$3:$S$501,"2")</f>
        <v>0</v>
      </c>
      <c r="H26" s="27">
        <f>COUNTIF(Hospitalización!$T$3:$T$501,"2")</f>
        <v>0</v>
      </c>
      <c r="I26" s="27">
        <f>COUNTIF(Hospitalización!$U$3:$U$501,"2")</f>
        <v>0</v>
      </c>
      <c r="J26" s="27">
        <f>COUNTIF(Hospitalización!$V$3:$V$501,"2")</f>
        <v>0</v>
      </c>
      <c r="K26" s="27">
        <f>COUNTIF(Hospitalización!$W$3:$W$501,"2")</f>
        <v>0</v>
      </c>
      <c r="L26" s="27">
        <f>COUNTIF(Hospitalización!$X$3:$X$501,"2")</f>
        <v>0</v>
      </c>
      <c r="M26" s="27">
        <f>COUNTIF(Hospitalización!$Y$3:$Y$501,"2")</f>
        <v>0</v>
      </c>
      <c r="O26" s="77" t="s">
        <v>117</v>
      </c>
      <c r="P26" s="46">
        <f t="shared" si="13"/>
        <v>0</v>
      </c>
      <c r="Q26" s="46">
        <f t="shared" si="14"/>
        <v>0</v>
      </c>
      <c r="R26" s="46">
        <f t="shared" si="15"/>
        <v>0</v>
      </c>
      <c r="S26" s="46">
        <f t="shared" si="16"/>
        <v>0</v>
      </c>
      <c r="T26" s="46">
        <f t="shared" si="17"/>
        <v>0</v>
      </c>
      <c r="U26" s="46">
        <f t="shared" si="18"/>
        <v>0</v>
      </c>
      <c r="V26" s="46">
        <f t="shared" si="19"/>
        <v>0</v>
      </c>
      <c r="W26" s="46">
        <f t="shared" si="20"/>
        <v>0</v>
      </c>
      <c r="X26" s="46">
        <f t="shared" si="21"/>
        <v>0</v>
      </c>
      <c r="Y26" s="46">
        <f t="shared" si="22"/>
        <v>0</v>
      </c>
      <c r="Z26" s="46">
        <f t="shared" si="23"/>
        <v>0</v>
      </c>
      <c r="AA26" s="46">
        <f t="shared" si="24"/>
        <v>0</v>
      </c>
    </row>
    <row r="27" spans="1:27">
      <c r="A27" s="77" t="s">
        <v>118</v>
      </c>
      <c r="B27" s="27">
        <f>COUNTIF(Hospitalización!$N$3:$N$501,"1")</f>
        <v>0</v>
      </c>
      <c r="C27" s="27">
        <f>COUNTIF(Hospitalización!$O$3:$O$501,"1")</f>
        <v>0</v>
      </c>
      <c r="D27" s="27">
        <f>COUNTIF(Hospitalización!$P$3:$P$501,"1")</f>
        <v>0</v>
      </c>
      <c r="E27" s="27">
        <f>COUNTIF(Hospitalización!$Q$3:$Q$501,"1")</f>
        <v>0</v>
      </c>
      <c r="F27" s="27">
        <f>COUNTIF(Hospitalización!$R$3:$R$501,"1")</f>
        <v>0</v>
      </c>
      <c r="G27" s="27">
        <f>COUNTIF(Hospitalización!$S$3:$S$501,"1")</f>
        <v>0</v>
      </c>
      <c r="H27" s="27">
        <f>COUNTIF(Hospitalización!$T$3:$T$501,"1")</f>
        <v>0</v>
      </c>
      <c r="I27" s="27">
        <f>COUNTIF(Hospitalización!$U$3:$U$501,"1")</f>
        <v>0</v>
      </c>
      <c r="J27" s="27">
        <f>COUNTIF(Hospitalización!$V$3:$V$501,"1")</f>
        <v>0</v>
      </c>
      <c r="K27" s="27">
        <f>COUNTIF(Hospitalización!$W$3:$W$501,"1")</f>
        <v>0</v>
      </c>
      <c r="L27" s="27">
        <f>COUNTIF(Hospitalización!$X$3:$X$501,"1")</f>
        <v>0</v>
      </c>
      <c r="M27" s="27">
        <f>COUNTIF(Hospitalización!$Y$3:$Y$501,"1")</f>
        <v>0</v>
      </c>
      <c r="O27" s="77" t="s">
        <v>118</v>
      </c>
      <c r="P27" s="46">
        <f t="shared" si="13"/>
        <v>0</v>
      </c>
      <c r="Q27" s="46">
        <f t="shared" si="14"/>
        <v>0</v>
      </c>
      <c r="R27" s="46">
        <f t="shared" si="15"/>
        <v>0</v>
      </c>
      <c r="S27" s="46">
        <f t="shared" si="16"/>
        <v>0</v>
      </c>
      <c r="T27" s="46">
        <f t="shared" si="17"/>
        <v>0</v>
      </c>
      <c r="U27" s="46">
        <f t="shared" si="18"/>
        <v>0</v>
      </c>
      <c r="V27" s="46">
        <f t="shared" si="19"/>
        <v>0</v>
      </c>
      <c r="W27" s="46">
        <f t="shared" si="20"/>
        <v>0</v>
      </c>
      <c r="X27" s="46">
        <f t="shared" si="21"/>
        <v>0</v>
      </c>
      <c r="Y27" s="46">
        <f t="shared" si="22"/>
        <v>0</v>
      </c>
      <c r="Z27" s="46">
        <f t="shared" si="23"/>
        <v>0</v>
      </c>
      <c r="AA27" s="46">
        <f t="shared" si="24"/>
        <v>0</v>
      </c>
    </row>
    <row r="28" spans="1:27">
      <c r="B28" s="25">
        <f>SUM(B20:B27)</f>
        <v>49</v>
      </c>
      <c r="C28" s="25">
        <f t="shared" ref="C28:M28" si="25">SUM(C21:C27)</f>
        <v>49</v>
      </c>
      <c r="D28" s="25">
        <f t="shared" si="25"/>
        <v>49</v>
      </c>
      <c r="E28" s="25">
        <f t="shared" si="25"/>
        <v>49</v>
      </c>
      <c r="F28" s="25">
        <f t="shared" si="25"/>
        <v>49</v>
      </c>
      <c r="G28" s="25">
        <f t="shared" si="25"/>
        <v>49</v>
      </c>
      <c r="H28" s="25">
        <f t="shared" si="25"/>
        <v>49</v>
      </c>
      <c r="I28" s="25">
        <f t="shared" si="25"/>
        <v>49</v>
      </c>
      <c r="J28" s="25">
        <f t="shared" si="25"/>
        <v>49</v>
      </c>
      <c r="K28" s="25">
        <f t="shared" si="25"/>
        <v>49</v>
      </c>
      <c r="L28" s="25">
        <f t="shared" si="25"/>
        <v>49</v>
      </c>
      <c r="M28" s="25">
        <f t="shared" si="25"/>
        <v>49</v>
      </c>
    </row>
  </sheetData>
  <mergeCells count="4">
    <mergeCell ref="B5:M5"/>
    <mergeCell ref="P5:AA5"/>
    <mergeCell ref="B18:M18"/>
    <mergeCell ref="P18:AA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4"/>
  <sheetViews>
    <sheetView topLeftCell="A156" workbookViewId="0">
      <selection activeCell="C74" sqref="C74"/>
    </sheetView>
  </sheetViews>
  <sheetFormatPr baseColWidth="10" defaultColWidth="11" defaultRowHeight="14.4"/>
  <cols>
    <col min="1" max="1" width="29.109375" style="25" customWidth="1"/>
    <col min="2" max="2" width="14.6640625" customWidth="1"/>
    <col min="3" max="3" width="12.6640625" customWidth="1"/>
    <col min="4" max="4" width="12.88671875" customWidth="1"/>
    <col min="6" max="6" width="17.33203125" customWidth="1"/>
    <col min="8" max="8" width="13.33203125" customWidth="1"/>
    <col min="15" max="15" width="14.33203125" customWidth="1"/>
    <col min="16" max="16" width="12.6640625" customWidth="1"/>
    <col min="17" max="17" width="2.6640625" customWidth="1"/>
  </cols>
  <sheetData>
    <row r="2" spans="1:16" ht="35.4" customHeight="1">
      <c r="B2" s="182" t="s">
        <v>131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6" ht="52.8">
      <c r="B3" s="90" t="s">
        <v>99</v>
      </c>
      <c r="C3" s="90" t="s">
        <v>100</v>
      </c>
      <c r="D3" s="90" t="s">
        <v>101</v>
      </c>
      <c r="E3" s="90" t="s">
        <v>102</v>
      </c>
      <c r="F3" s="90" t="s">
        <v>103</v>
      </c>
      <c r="G3" s="90" t="s">
        <v>104</v>
      </c>
      <c r="H3" s="90" t="s">
        <v>105</v>
      </c>
      <c r="I3" s="90" t="s">
        <v>106</v>
      </c>
      <c r="J3" s="90" t="s">
        <v>107</v>
      </c>
      <c r="K3" s="90" t="s">
        <v>108</v>
      </c>
      <c r="L3" s="90" t="s">
        <v>109</v>
      </c>
      <c r="M3" s="90" t="s">
        <v>110</v>
      </c>
      <c r="N3" s="90" t="s">
        <v>132</v>
      </c>
      <c r="O3" s="90" t="s">
        <v>133</v>
      </c>
      <c r="P3" s="90" t="s">
        <v>134</v>
      </c>
    </row>
    <row r="4" spans="1:16">
      <c r="A4" s="5" t="s">
        <v>111</v>
      </c>
      <c r="B4" s="27">
        <f>COUNTIFS(Ambulatorio!$M$73:$M$483,"Citas Médicas- Facturación",Ambulatorio!N$73:$N$483,"8")</f>
        <v>0</v>
      </c>
      <c r="C4" s="27">
        <f>COUNTIFS(Ambulatorio!$M$73:$M$483,"Citas Médicas- Facturación",Ambulatorio!$O$73:O$483,"8")</f>
        <v>0</v>
      </c>
      <c r="D4" s="27">
        <f>COUNTIFS(Ambulatorio!$M$73:$M$483,"Citas Médicas- Facturación",Ambulatorio!$P$73:P$483,"8")</f>
        <v>0</v>
      </c>
      <c r="E4" s="27">
        <f>COUNTIFS(Ambulatorio!$M$73:$M$483,"Citas Médicas- Facturación",Ambulatorio!$Q$73:Q$483,"8")</f>
        <v>0</v>
      </c>
      <c r="F4" s="27">
        <f>COUNTIFS(Ambulatorio!$M$73:$M$483,"Citas Médicas- Facturación",Ambulatorio!$R$73:R$483,"8")</f>
        <v>0</v>
      </c>
      <c r="G4" s="27">
        <f>COUNTIFS(Ambulatorio!$M$73:$M$483,"Citas Médicas- Facturación",Ambulatorio!$S$73:S$483,"8")</f>
        <v>0</v>
      </c>
      <c r="H4" s="27">
        <f>COUNTIFS(Ambulatorio!$M$73:$M$483,"Citas Médicas- Facturación",Ambulatorio!$T$73:T$483,"8")</f>
        <v>0</v>
      </c>
      <c r="I4" s="27">
        <f>COUNTIFS(Ambulatorio!$M$73:$M$483,"Citas Médicas- Facturación",Ambulatorio!$U$73:U$483,"8")</f>
        <v>0</v>
      </c>
      <c r="J4" s="27">
        <f>COUNTIFS(Ambulatorio!$M$73:$M$483,"Citas Médicas- Facturación",Ambulatorio!$V$73:V$483,"8")</f>
        <v>0</v>
      </c>
      <c r="K4" s="27">
        <f>COUNTIFS(Ambulatorio!$M$73:$M$483,"Citas Médicas- Facturación",Ambulatorio!$W$73:W$483,"8")</f>
        <v>0</v>
      </c>
      <c r="L4" s="27">
        <f>COUNTIFS(Ambulatorio!$M$73:$M$483,"Citas Médicas- Facturación",Ambulatorio!$X$73:X$483,"8")</f>
        <v>0</v>
      </c>
      <c r="M4" s="27">
        <f>COUNTIFS(Ambulatorio!$M$73:$M$483,"Citas Médicas- Facturación",Ambulatorio!$Y$73:Y$483,"8")</f>
        <v>0</v>
      </c>
      <c r="N4" s="27">
        <f>COUNTIFS(Ambulatorio!$M$73:$M$483,"Citas Médicas- Facturación",Ambulatorio!$Z$73:Z$483,"8")</f>
        <v>0</v>
      </c>
      <c r="O4" s="27">
        <f>COUNTIFS(Ambulatorio!$M$73:$M$483,"Citas Médicas- Facturación",Ambulatorio!$AA$73:AA$483,"8")</f>
        <v>0</v>
      </c>
      <c r="P4" s="27">
        <f>COUNTIFS(Ambulatorio!$M$73:$M$483,"Citas Médicas- Facturación",Ambulatorio!$AB$73:AB$483,"8")</f>
        <v>0</v>
      </c>
    </row>
    <row r="5" spans="1:16">
      <c r="A5" s="5" t="s">
        <v>112</v>
      </c>
      <c r="B5" s="27">
        <f>COUNTIFS(Ambulatorio!$M$73:$M$483,"Citas Médicas- Facturación",Ambulatorio!N$73:$N$483,"7")</f>
        <v>0</v>
      </c>
      <c r="C5" s="27">
        <f>COUNTIFS(Ambulatorio!$M$73:$M$483,"Citas Médicas- Facturación",Ambulatorio!$O$73:O$483,"7")</f>
        <v>0</v>
      </c>
      <c r="D5" s="27">
        <f>COUNTIFS(Ambulatorio!$M$73:$M$483,"Citas Médicas- Facturación",Ambulatorio!$P$73:P$483,"7")</f>
        <v>0</v>
      </c>
      <c r="E5" s="27">
        <f>COUNTIFS(Ambulatorio!$M$73:$M$483,"Citas Médicas- Facturación",Ambulatorio!$Q$73:Q$483,"7")</f>
        <v>0</v>
      </c>
      <c r="F5" s="27">
        <f>COUNTIFS(Ambulatorio!$M$73:$M$483,"Citas Médicas- Facturación",Ambulatorio!$R$73:R$483,"7")</f>
        <v>0</v>
      </c>
      <c r="G5" s="27">
        <f>COUNTIFS(Ambulatorio!$M$73:$M$483,"Citas Médicas- Facturación",Ambulatorio!$S$73:S$483,"7")</f>
        <v>0</v>
      </c>
      <c r="H5" s="27">
        <f>COUNTIFS(Ambulatorio!$M$73:$M$483,"Citas Médicas- Facturación",Ambulatorio!$T$73:T$483,"7")</f>
        <v>0</v>
      </c>
      <c r="I5" s="27">
        <f>COUNTIFS(Ambulatorio!$M$73:$M$483,"Citas Médicas- Facturación",Ambulatorio!$U$73:U$483,"7")</f>
        <v>0</v>
      </c>
      <c r="J5" s="27">
        <f>COUNTIFS(Ambulatorio!$M$73:$M$483,"Citas Médicas- Facturación",Ambulatorio!$V$73:V$483,"7")</f>
        <v>0</v>
      </c>
      <c r="K5" s="27">
        <f>COUNTIFS(Ambulatorio!$M$73:$M$483,"Citas Médicas- Facturación",Ambulatorio!$W$73:W$483,"7")</f>
        <v>0</v>
      </c>
      <c r="L5" s="27">
        <f>COUNTIFS(Ambulatorio!$M$73:$M$483,"Citas Médicas- Facturación",Ambulatorio!$X$73:X$483,"7")</f>
        <v>0</v>
      </c>
      <c r="M5" s="27">
        <f>COUNTIFS(Ambulatorio!$M$73:$M$483,"Citas Médicas- Facturación",Ambulatorio!$Y$73:Y$483,"7")</f>
        <v>0</v>
      </c>
      <c r="N5" s="27">
        <f>COUNTIFS(Ambulatorio!$M$73:$M$483,"Citas Médicas- Facturación",Ambulatorio!$Z$73:Z$483,"7")</f>
        <v>0</v>
      </c>
      <c r="O5" s="27">
        <f>COUNTIFS(Ambulatorio!$M$73:$M$483,"Citas Médicas- Facturación",Ambulatorio!$AA$73:AA$483,"7")</f>
        <v>0</v>
      </c>
      <c r="P5" s="27">
        <f>COUNTIFS(Ambulatorio!$M$73:$M$483,"Citas Médicas- Facturación",Ambulatorio!$AB$73:AB$483,"7")</f>
        <v>0</v>
      </c>
    </row>
    <row r="6" spans="1:16">
      <c r="A6" s="77" t="s">
        <v>113</v>
      </c>
      <c r="B6" s="27">
        <f>COUNTIFS(Ambulatorio!$M$73:$M$483,"Citas Médicas- Facturación",Ambulatorio!N$73:$N$483,"6")</f>
        <v>0</v>
      </c>
      <c r="C6" s="27">
        <f>COUNTIFS(Ambulatorio!$M$73:$M$483,"Citas Médicas- Facturación",Ambulatorio!$O$73:O$483,"6")</f>
        <v>0</v>
      </c>
      <c r="D6" s="27">
        <f>COUNTIFS(Ambulatorio!$M$73:$M$483,"Citas Médicas- Facturación",Ambulatorio!$P$73:P$483,"6")</f>
        <v>0</v>
      </c>
      <c r="E6" s="27">
        <f>COUNTIFS(Ambulatorio!$M$73:$M$483,"Citas Médicas- Facturación",Ambulatorio!$Q$73:Q$483,"6")</f>
        <v>0</v>
      </c>
      <c r="F6" s="27">
        <f>COUNTIFS(Ambulatorio!$M$73:$M$483,"Citas Médicas- Facturación",Ambulatorio!$R$73:R$483,"6")</f>
        <v>0</v>
      </c>
      <c r="G6" s="27">
        <f>COUNTIFS(Ambulatorio!$M$73:$M$483,"Citas Médicas- Facturación",Ambulatorio!$S$73:S$483,"6")</f>
        <v>0</v>
      </c>
      <c r="H6" s="27">
        <f>COUNTIFS(Ambulatorio!$M$73:$M$483,"Citas Médicas- Facturación",Ambulatorio!$T$73:T$483,"6")</f>
        <v>0</v>
      </c>
      <c r="I6" s="27">
        <f>COUNTIFS(Ambulatorio!$M$73:$M$483,"Citas Médicas- Facturación",Ambulatorio!$U$73:U$483,"6")</f>
        <v>0</v>
      </c>
      <c r="J6" s="27">
        <f>COUNTIFS(Ambulatorio!$M$73:$M$483,"Citas Médicas- Facturación",Ambulatorio!$V$73:V$483,"6")</f>
        <v>0</v>
      </c>
      <c r="K6" s="27">
        <f>COUNTIFS(Ambulatorio!$M$73:$M$483,"Citas Médicas- Facturación",Ambulatorio!$W$73:W$483,"6")</f>
        <v>0</v>
      </c>
      <c r="L6" s="27">
        <f>COUNTIFS(Ambulatorio!$M$73:$M$483,"Citas Médicas- Facturación",Ambulatorio!$X$73:X$483,"6")</f>
        <v>0</v>
      </c>
      <c r="M6" s="27">
        <f>COUNTIFS(Ambulatorio!$M$73:$M$483,"Citas Médicas- Facturación",Ambulatorio!$Y$73:Y$483,"6")</f>
        <v>0</v>
      </c>
      <c r="N6" s="27">
        <f>COUNTIFS(Ambulatorio!$M$73:$M$483,"Citas Médicas- Facturación",Ambulatorio!$Z$73:Z$483,"6")</f>
        <v>0</v>
      </c>
      <c r="O6" s="27">
        <f>COUNTIFS(Ambulatorio!$M$73:$M$483,"Citas Médicas- Facturación",Ambulatorio!$AA$73:AA$483,"6")</f>
        <v>0</v>
      </c>
      <c r="P6" s="27">
        <f>COUNTIFS(Ambulatorio!$M$73:$M$483,"Citas Médicas- Facturación",Ambulatorio!$AB$73:AB$483,"6")</f>
        <v>0</v>
      </c>
    </row>
    <row r="7" spans="1:16">
      <c r="A7" s="77" t="s">
        <v>114</v>
      </c>
      <c r="B7" s="27">
        <f>COUNTIFS(Ambulatorio!$M$73:$M$483,"Citas Médicas- Facturación",Ambulatorio!N$73:$N$483,"5")</f>
        <v>0</v>
      </c>
      <c r="C7" s="27">
        <f>COUNTIFS(Ambulatorio!$M$73:$M$483,"Citas Médicas- Facturación",Ambulatorio!$O$73:O$483,"5")</f>
        <v>0</v>
      </c>
      <c r="D7" s="27">
        <f>COUNTIFS(Ambulatorio!$M$73:$M$483,"Citas Médicas- Facturación",Ambulatorio!$P$73:P$483,"5")</f>
        <v>0</v>
      </c>
      <c r="E7" s="27">
        <f>COUNTIFS(Ambulatorio!$M$73:$M$483,"Citas Médicas- Facturación",Ambulatorio!$Q$73:Q$483,"5")</f>
        <v>0</v>
      </c>
      <c r="F7" s="27">
        <f>COUNTIFS(Ambulatorio!$M$73:$M$483,"Citas Médicas- Facturación",Ambulatorio!$R$73:R$483,"5")</f>
        <v>0</v>
      </c>
      <c r="G7" s="27">
        <f>COUNTIFS(Ambulatorio!$M$73:$M$483,"Citas Médicas- Facturación",Ambulatorio!$S$73:S$483,"5")</f>
        <v>0</v>
      </c>
      <c r="H7" s="27">
        <f>COUNTIFS(Ambulatorio!$M$73:$M$483,"Citas Médicas- Facturación",Ambulatorio!$T$73:T$483,"5")</f>
        <v>0</v>
      </c>
      <c r="I7" s="27">
        <f>COUNTIFS(Ambulatorio!$M$73:$M$483,"Citas Médicas- Facturación",Ambulatorio!$U$73:U$483,"5")</f>
        <v>0</v>
      </c>
      <c r="J7" s="27">
        <f>COUNTIFS(Ambulatorio!$M$73:$M$483,"Citas Médicas- Facturación",Ambulatorio!$V$73:V$483,"5")</f>
        <v>0</v>
      </c>
      <c r="K7" s="27">
        <f>COUNTIFS(Ambulatorio!$M$73:$M$483,"Citas Médicas- Facturación",Ambulatorio!$W$73:W$483,"5")</f>
        <v>0</v>
      </c>
      <c r="L7" s="27">
        <f>COUNTIFS(Ambulatorio!$M$73:$M$483,"Citas Médicas- Facturación",Ambulatorio!$X$73:X$483,"5")</f>
        <v>0</v>
      </c>
      <c r="M7" s="27">
        <f>COUNTIFS(Ambulatorio!$M$73:$M$483,"Citas Médicas- Facturación",Ambulatorio!$Y$73:Y$483,"5")</f>
        <v>0</v>
      </c>
      <c r="N7" s="27">
        <f>COUNTIFS(Ambulatorio!$M$73:$M$483,"Citas Médicas- Facturación",Ambulatorio!$Z$73:Z$483,"5")</f>
        <v>0</v>
      </c>
      <c r="O7" s="27">
        <f>COUNTIFS(Ambulatorio!$M$73:$M$483,"Citas Médicas- Facturación",Ambulatorio!$AA$73:AA$483,"5")</f>
        <v>0</v>
      </c>
      <c r="P7" s="27">
        <f>COUNTIFS(Ambulatorio!$M$73:$M$483,"Citas Médicas- Facturación",Ambulatorio!$AB$73:AB$483,"5")</f>
        <v>0</v>
      </c>
    </row>
    <row r="8" spans="1:16">
      <c r="A8" s="77" t="s">
        <v>115</v>
      </c>
      <c r="B8" s="27">
        <f>COUNTIFS(Ambulatorio!$M$73:$M$483,"Citas Médicas- Facturación",Ambulatorio!N$73:$N$483,"4")</f>
        <v>0</v>
      </c>
      <c r="C8" s="27">
        <f>COUNTIFS(Ambulatorio!$M$73:$M$483,"Citas Médicas- Facturación",Ambulatorio!$O$73:O$483,"4")</f>
        <v>0</v>
      </c>
      <c r="D8" s="27">
        <f>COUNTIFS(Ambulatorio!$M$73:$M$483,"Citas Médicas- Facturación",Ambulatorio!$P$73:P$483,"4")</f>
        <v>0</v>
      </c>
      <c r="E8" s="27">
        <f>COUNTIFS(Ambulatorio!$M$73:$M$483,"Citas Médicas- Facturación",Ambulatorio!$Q$73:Q$483,"4")</f>
        <v>0</v>
      </c>
      <c r="F8" s="27">
        <f>COUNTIFS(Ambulatorio!$M$73:$M$483,"Citas Médicas- Facturación",Ambulatorio!$R$73:R$483,"4")</f>
        <v>0</v>
      </c>
      <c r="G8" s="27">
        <f>COUNTIFS(Ambulatorio!$M$73:$M$483,"Citas Médicas- Facturación",Ambulatorio!$S$73:S$483,"4")</f>
        <v>0</v>
      </c>
      <c r="H8" s="27">
        <f>COUNTIFS(Ambulatorio!$M$73:$M$483,"Citas Médicas- Facturación",Ambulatorio!$T$73:T$483,"4")</f>
        <v>0</v>
      </c>
      <c r="I8" s="27">
        <f>COUNTIFS(Ambulatorio!$M$73:$M$483,"Citas Médicas- Facturación",Ambulatorio!$U$73:U$483,"4")</f>
        <v>0</v>
      </c>
      <c r="J8" s="27">
        <f>COUNTIFS(Ambulatorio!$M$73:$M$483,"Citas Médicas- Facturación",Ambulatorio!$V$73:V$483,"4")</f>
        <v>0</v>
      </c>
      <c r="K8" s="27">
        <f>COUNTIFS(Ambulatorio!$M$73:$M$483,"Citas Médicas- Facturación",Ambulatorio!$W$73:W$483,"4")</f>
        <v>0</v>
      </c>
      <c r="L8" s="27">
        <f>COUNTIFS(Ambulatorio!$M$73:$M$483,"Citas Médicas- Facturación",Ambulatorio!$X$73:X$483,"4")</f>
        <v>0</v>
      </c>
      <c r="M8" s="27">
        <f>COUNTIFS(Ambulatorio!$M$73:$M$483,"Citas Médicas- Facturación",Ambulatorio!$Y$73:Y$483,"4")</f>
        <v>0</v>
      </c>
      <c r="N8" s="27">
        <f>COUNTIFS(Ambulatorio!$M$73:$M$483,"Citas Médicas- Facturación",Ambulatorio!$Z$73:Z$483,"4")</f>
        <v>0</v>
      </c>
      <c r="O8" s="27">
        <f>COUNTIFS(Ambulatorio!$M$73:$M$483,"Citas Médicas- Facturación",Ambulatorio!$AA$73:AA$483,"4")</f>
        <v>0</v>
      </c>
      <c r="P8" s="27">
        <f>COUNTIFS(Ambulatorio!$M$73:$M$483,"Citas Médicas- Facturación",Ambulatorio!$AB$73:AB$483,"4")</f>
        <v>0</v>
      </c>
    </row>
    <row r="9" spans="1:16">
      <c r="A9" s="77" t="s">
        <v>116</v>
      </c>
      <c r="B9" s="27">
        <f>COUNTIFS(Ambulatorio!$M$73:$M$483,"Citas Médicas- Facturación",Ambulatorio!N$73:$N$483,"3")</f>
        <v>0</v>
      </c>
      <c r="C9" s="27">
        <f>COUNTIFS(Ambulatorio!$M$73:$M$483,"Citas Médicas- Facturación",Ambulatorio!$O$73:O$483,"3")</f>
        <v>0</v>
      </c>
      <c r="D9" s="27">
        <f>COUNTIFS(Ambulatorio!$M$73:$M$483,"Citas Médicas- Facturación",Ambulatorio!$P$73:P$483,"3")</f>
        <v>0</v>
      </c>
      <c r="E9" s="27">
        <f>COUNTIFS(Ambulatorio!$M$73:$M$483,"Citas Médicas- Facturación",Ambulatorio!$Q$73:Q$483,"3")</f>
        <v>0</v>
      </c>
      <c r="F9" s="27">
        <f>COUNTIFS(Ambulatorio!$M$73:$M$483,"Citas Médicas- Facturación",Ambulatorio!$R$73:R$483,"3")</f>
        <v>0</v>
      </c>
      <c r="G9" s="27">
        <f>COUNTIFS(Ambulatorio!$M$73:$M$483,"Citas Médicas- Facturación",Ambulatorio!$S$73:S$483,"3")</f>
        <v>0</v>
      </c>
      <c r="H9" s="27">
        <f>COUNTIFS(Ambulatorio!$M$73:$M$483,"Citas Médicas- Facturación",Ambulatorio!$T$73:T$483,"3")</f>
        <v>0</v>
      </c>
      <c r="I9" s="27">
        <f>COUNTIFS(Ambulatorio!$M$73:$M$483,"Citas Médicas- Facturación",Ambulatorio!$U$73:U$483,"3")</f>
        <v>0</v>
      </c>
      <c r="J9" s="27">
        <f>COUNTIFS(Ambulatorio!$M$73:$M$483,"Citas Médicas- Facturación",Ambulatorio!$V$73:V$483,"3")</f>
        <v>0</v>
      </c>
      <c r="K9" s="27">
        <f>COUNTIFS(Ambulatorio!$M$73:$M$483,"Citas Médicas- Facturación",Ambulatorio!$W$73:W$483,"3")</f>
        <v>0</v>
      </c>
      <c r="L9" s="27">
        <f>COUNTIFS(Ambulatorio!$M$73:$M$483,"Citas Médicas- Facturación",Ambulatorio!$X$73:X$483,"3")</f>
        <v>0</v>
      </c>
      <c r="M9" s="27">
        <f>COUNTIFS(Ambulatorio!$M$73:$M$483,"Citas Médicas- Facturación",Ambulatorio!$Y$73:Y$483,"3")</f>
        <v>0</v>
      </c>
      <c r="N9" s="27">
        <f>COUNTIFS(Ambulatorio!$M$73:$M$483,"Citas Médicas- Facturación",Ambulatorio!$Z$73:Z$483,"3")</f>
        <v>0</v>
      </c>
      <c r="O9" s="27">
        <f>COUNTIFS(Ambulatorio!$M$73:$M$483,"Citas Médicas- Facturación",Ambulatorio!$AA$73:AA$483,"3")</f>
        <v>0</v>
      </c>
      <c r="P9" s="27">
        <f>COUNTIFS(Ambulatorio!$M$73:$M$483,"Citas Médicas- Facturación",Ambulatorio!$AB$73:AB$483,"3")</f>
        <v>0</v>
      </c>
    </row>
    <row r="10" spans="1:16">
      <c r="A10" s="77" t="s">
        <v>117</v>
      </c>
      <c r="B10" s="27">
        <f>COUNTIFS(Ambulatorio!$M$73:$M$483,"Citas Médicas- Facturación",Ambulatorio!N$73:$N$483,"2")</f>
        <v>0</v>
      </c>
      <c r="C10" s="27">
        <f>COUNTIFS(Ambulatorio!$M$73:$M$483,"Citas Médicas- Facturación",Ambulatorio!$O$73:O$483,"2")</f>
        <v>0</v>
      </c>
      <c r="D10" s="27">
        <f>COUNTIFS(Ambulatorio!$M$73:$M$483,"Citas Médicas- Facturación",Ambulatorio!$P$73:P$483,"2")</f>
        <v>0</v>
      </c>
      <c r="E10" s="27">
        <f>COUNTIFS(Ambulatorio!$M$73:$M$483,"Citas Médicas- Facturación",Ambulatorio!$Q$73:Q$483,"2")</f>
        <v>0</v>
      </c>
      <c r="F10" s="27">
        <f>COUNTIFS(Ambulatorio!$M$73:$M$483,"Citas Médicas- Facturación",Ambulatorio!$R$73:R$483,"2")</f>
        <v>0</v>
      </c>
      <c r="G10" s="27">
        <f>COUNTIFS(Ambulatorio!$M$73:$M$483,"Citas Médicas- Facturación",Ambulatorio!$S$73:S$483,"2")</f>
        <v>0</v>
      </c>
      <c r="H10" s="27">
        <f>COUNTIFS(Ambulatorio!$M$73:$M$483,"Citas Médicas- Facturación",Ambulatorio!$T$73:T$483,"2")</f>
        <v>0</v>
      </c>
      <c r="I10" s="27">
        <f>COUNTIFS(Ambulatorio!$M$73:$M$483,"Citas Médicas- Facturación",Ambulatorio!$U$73:U$483,"2")</f>
        <v>0</v>
      </c>
      <c r="J10" s="27">
        <f>COUNTIFS(Ambulatorio!$M$73:$M$483,"Citas Médicas- Facturación",Ambulatorio!$V$73:V$483,"2")</f>
        <v>0</v>
      </c>
      <c r="K10" s="27">
        <f>COUNTIFS(Ambulatorio!$M$73:$M$483,"Citas Médicas- Facturación",Ambulatorio!$W$73:W$483,"2")</f>
        <v>0</v>
      </c>
      <c r="L10" s="27">
        <f>COUNTIFS(Ambulatorio!$M$73:$M$483,"Citas Médicas- Facturación",Ambulatorio!$X$73:X$483,"2")</f>
        <v>0</v>
      </c>
      <c r="M10" s="27">
        <f>COUNTIFS(Ambulatorio!$M$73:$M$483,"Citas Médicas- Facturación",Ambulatorio!$Y$73:Y$483,"2")</f>
        <v>0</v>
      </c>
      <c r="N10" s="27">
        <f>COUNTIFS(Ambulatorio!$M$73:$M$483,"Citas Médicas- Facturación",Ambulatorio!$Z$73:Z$483,"2")</f>
        <v>0</v>
      </c>
      <c r="O10" s="27">
        <f>COUNTIFS(Ambulatorio!$M$73:$M$483,"Citas Médicas- Facturación",Ambulatorio!$AA$73:AA$483,"2")</f>
        <v>0</v>
      </c>
      <c r="P10" s="27">
        <f>COUNTIFS(Ambulatorio!$M$73:$M$483,"Citas Médicas- Facturación",Ambulatorio!$AB$73:AB$483,"2")</f>
        <v>0</v>
      </c>
    </row>
    <row r="11" spans="1:16">
      <c r="A11" s="77" t="s">
        <v>118</v>
      </c>
      <c r="B11" s="27">
        <f>COUNTIFS(Ambulatorio!$M$73:$M$483,"Citas Médicas- Facturación",Ambulatorio!N$73:$N$483,"1")</f>
        <v>0</v>
      </c>
      <c r="C11" s="27">
        <f>COUNTIFS(Ambulatorio!$M$73:$M$483,"Citas Médicas- Facturación",Ambulatorio!$O$73:O$483,"1")</f>
        <v>0</v>
      </c>
      <c r="D11" s="27">
        <f>COUNTIFS(Ambulatorio!$M$73:$M$483,"Citas Médicas- Facturación",Ambulatorio!$P$73:P$483,"1")</f>
        <v>0</v>
      </c>
      <c r="E11" s="27">
        <f>COUNTIFS(Ambulatorio!$M$73:$M$483,"Citas Médicas- Facturación",Ambulatorio!$Q$73:Q$483,"1")</f>
        <v>0</v>
      </c>
      <c r="F11" s="27">
        <f>COUNTIFS(Ambulatorio!$M$73:$M$483,"Citas Médicas- Facturación",Ambulatorio!$R$73:R$483,"1")</f>
        <v>0</v>
      </c>
      <c r="G11" s="27">
        <f>COUNTIFS(Ambulatorio!$M$73:$M$483,"Citas Médicas- Facturación",Ambulatorio!$S$73:S$483,"1")</f>
        <v>0</v>
      </c>
      <c r="H11" s="27">
        <f>COUNTIFS(Ambulatorio!$M$73:$M$483,"Citas Médicas- Facturación",Ambulatorio!$T$73:T$483,"1")</f>
        <v>0</v>
      </c>
      <c r="I11" s="27">
        <f>COUNTIFS(Ambulatorio!$M$73:$M$483,"Citas Médicas- Facturación",Ambulatorio!$U$73:U$483,"1")</f>
        <v>0</v>
      </c>
      <c r="J11" s="27">
        <f>COUNTIFS(Ambulatorio!$M$73:$M$483,"Citas Médicas- Facturación",Ambulatorio!$V$73:V$483,"1")</f>
        <v>0</v>
      </c>
      <c r="K11" s="27">
        <f>COUNTIFS(Ambulatorio!$M$73:$M$483,"Citas Médicas- Facturación",Ambulatorio!$W$73:W$483,"1")</f>
        <v>0</v>
      </c>
      <c r="L11" s="27">
        <f>COUNTIFS(Ambulatorio!$M$73:$M$483,"Citas Médicas- Facturación",Ambulatorio!$X$73:X$483,"1")</f>
        <v>0</v>
      </c>
      <c r="M11" s="27">
        <f>COUNTIFS(Ambulatorio!$M$73:$M$483,"Citas Médicas- Facturación",Ambulatorio!$Y$73:Y$483,"1")</f>
        <v>0</v>
      </c>
      <c r="N11" s="27">
        <f>COUNTIFS(Ambulatorio!$M$73:$M$483,"Citas Médicas- Facturación",Ambulatorio!$Z$73:Z$483,"1")</f>
        <v>0</v>
      </c>
      <c r="O11" s="27">
        <f>COUNTIFS(Ambulatorio!$M$73:$M$483,"Citas Médicas- Facturación",Ambulatorio!$AA$73:AA$483,"1")</f>
        <v>0</v>
      </c>
      <c r="P11" s="27">
        <f>COUNTIFS(Ambulatorio!$M$73:$M$483,"Citas Médicas- Facturación",Ambulatorio!$AB$73:AB$483,"1")</f>
        <v>0</v>
      </c>
    </row>
    <row r="12" spans="1:16">
      <c r="A12" s="89"/>
      <c r="B12" s="25">
        <f>SUM(B4:B11)</f>
        <v>0</v>
      </c>
      <c r="C12" s="25">
        <f t="shared" ref="C12:P12" si="0">SUM(C4:C11)</f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</row>
    <row r="14" spans="1:16" ht="35.4" customHeight="1">
      <c r="B14" s="186" t="s">
        <v>135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16" ht="52.8">
      <c r="B15" s="90" t="s">
        <v>99</v>
      </c>
      <c r="C15" s="90" t="s">
        <v>100</v>
      </c>
      <c r="D15" s="90" t="s">
        <v>101</v>
      </c>
      <c r="E15" s="90" t="s">
        <v>102</v>
      </c>
      <c r="F15" s="90" t="s">
        <v>103</v>
      </c>
      <c r="G15" s="90" t="s">
        <v>104</v>
      </c>
      <c r="H15" s="90" t="s">
        <v>105</v>
      </c>
      <c r="I15" s="90" t="s">
        <v>106</v>
      </c>
      <c r="J15" s="90" t="s">
        <v>107</v>
      </c>
      <c r="K15" s="90" t="s">
        <v>108</v>
      </c>
      <c r="L15" s="90" t="s">
        <v>109</v>
      </c>
      <c r="M15" s="90" t="s">
        <v>110</v>
      </c>
      <c r="N15" s="90" t="s">
        <v>132</v>
      </c>
      <c r="O15" s="90" t="s">
        <v>133</v>
      </c>
      <c r="P15" s="90" t="s">
        <v>134</v>
      </c>
    </row>
    <row r="16" spans="1:16">
      <c r="A16" s="5" t="s">
        <v>111</v>
      </c>
      <c r="B16" s="27">
        <f>COUNTIFS(Ambulatorio!$M$73:$M$483,"Ayudas Diagnósticas Laboratorio y Patología",Ambulatorio!N$73:$N$483,"8")</f>
        <v>0</v>
      </c>
      <c r="C16" s="27">
        <f>COUNTIFS(Ambulatorio!$M$73:$M$483,"Ayudas Diagnósticas Laboratorio y Patología",Ambulatorio!$O$73:O$483,"8")</f>
        <v>0</v>
      </c>
      <c r="D16" s="27">
        <f>COUNTIFS(Ambulatorio!$M$73:$M$483,"Ayudas Diagnósticas Laboratorio y Patología",Ambulatorio!$P$73:P$483,"8")</f>
        <v>0</v>
      </c>
      <c r="E16" s="27">
        <f>COUNTIFS(Ambulatorio!$M$73:$M$483,"Ayudas Diagnósticas Laboratorio y Patología",Ambulatorio!$Q$73:Q$483,"8")</f>
        <v>0</v>
      </c>
      <c r="F16" s="27">
        <f>COUNTIFS(Ambulatorio!$M$73:$M$483,"Ayudas Diagnósticas Laboratorio y Patología",Ambulatorio!$R$73:R$483,"8")</f>
        <v>0</v>
      </c>
      <c r="G16" s="27">
        <f>COUNTIFS(Ambulatorio!$M$73:$M$483,"Ayudas Diagnósticas Laboratorio y Patología",Ambulatorio!$S$73:S$483,"8")</f>
        <v>0</v>
      </c>
      <c r="H16" s="27">
        <f>COUNTIFS(Ambulatorio!$M$73:$M$483,"Ayudas Diagnósticas Laboratorio y Patología",Ambulatorio!$T$73:T$483,"8")</f>
        <v>0</v>
      </c>
      <c r="I16" s="27">
        <f>COUNTIFS(Ambulatorio!$M$73:$M$483,"Ayudas Diagnósticas Laboratorio y Patología",Ambulatorio!$U$73:U$483,"8")</f>
        <v>0</v>
      </c>
      <c r="J16" s="27">
        <f>COUNTIFS(Ambulatorio!$M$73:$M$483,"Ayudas Diagnósticas Laboratorio y Patología",Ambulatorio!$V$73:V$483,"8")</f>
        <v>0</v>
      </c>
      <c r="K16" s="27">
        <f>COUNTIFS(Ambulatorio!$M$73:$M$483,"Ayudas Diagnósticas Laboratorio y Patología",Ambulatorio!$W$73:W$483,"8")</f>
        <v>0</v>
      </c>
      <c r="L16" s="27">
        <f>COUNTIFS(Ambulatorio!$M$73:$M$483,"Ayudas Diagnósticas Laboratorio y Patología",Ambulatorio!$X$73:X$483,"8")</f>
        <v>0</v>
      </c>
      <c r="M16" s="27">
        <f>COUNTIFS(Ambulatorio!$M$73:$M$483,"Ayudas Diagnósticas Laboratorio y Patología",Ambulatorio!$Y$73:Y$483,"8")</f>
        <v>0</v>
      </c>
      <c r="N16" s="27">
        <f>COUNTIFS(Ambulatorio!$M$73:$M$483,"Ayudas Diagnósticas Laboratorio y Patología",Ambulatorio!$Z$73:Z$483,"8")</f>
        <v>0</v>
      </c>
      <c r="O16" s="27">
        <f>COUNTIFS(Ambulatorio!$M$73:$M$483,"Ayudas Diagnósticas Laboratorio y Patología",Ambulatorio!$AA$73:AA$483,"8")</f>
        <v>0</v>
      </c>
      <c r="P16" s="27">
        <f>COUNTIFS(Ambulatorio!$M$73:$M$483,"Ayudas Diagnósticas Laboratorio y Patología",Ambulatorio!$AB$73:AB$483,"8")</f>
        <v>0</v>
      </c>
    </row>
    <row r="17" spans="1:16">
      <c r="A17" s="5" t="s">
        <v>112</v>
      </c>
      <c r="B17" s="27">
        <f>COUNTIFS(Ambulatorio!$M$73:$M$483,"Ayudas Diagnósticas Laboratorio y Patología",Ambulatorio!N$73:$N$483,"7")</f>
        <v>0</v>
      </c>
      <c r="C17" s="27">
        <f>COUNTIFS(Ambulatorio!$M$73:$M$483,"Ayudas Diagnósticas Laboratorio y Patología",Ambulatorio!$O$73:O$483,"7")</f>
        <v>0</v>
      </c>
      <c r="D17" s="27">
        <f>COUNTIFS(Ambulatorio!$M$73:$M$483,"Ayudas Diagnósticas Laboratorio y Patología",Ambulatorio!$P$73:P$483,"7")</f>
        <v>0</v>
      </c>
      <c r="E17" s="27">
        <f>COUNTIFS(Ambulatorio!$M$73:$M$483,"Ayudas Diagnósticas Laboratorio y Patología",Ambulatorio!$Q$73:Q$483,"7")</f>
        <v>0</v>
      </c>
      <c r="F17" s="27">
        <f>COUNTIFS(Ambulatorio!$M$73:$M$483,"Ayudas Diagnósticas Laboratorio y Patología",Ambulatorio!$R$73:R$483,"7")</f>
        <v>0</v>
      </c>
      <c r="G17" s="27">
        <f>COUNTIFS(Ambulatorio!$M$73:$M$483,"Ayudas Diagnósticas Laboratorio y Patología",Ambulatorio!$S$73:S$483,"7")</f>
        <v>0</v>
      </c>
      <c r="H17" s="27">
        <f>COUNTIFS(Ambulatorio!$M$73:$M$483,"Ayudas Diagnósticas Laboratorio y Patología",Ambulatorio!$T$73:T$483,"7")</f>
        <v>0</v>
      </c>
      <c r="I17" s="27">
        <f>COUNTIFS(Ambulatorio!$M$73:$M$483,"Ayudas Diagnósticas Laboratorio y Patología",Ambulatorio!$U$73:U$483,"7")</f>
        <v>0</v>
      </c>
      <c r="J17" s="27">
        <f>COUNTIFS(Ambulatorio!$M$73:$M$483,"Ayudas Diagnósticas Laboratorio y Patología",Ambulatorio!$V$73:V$483,"7")</f>
        <v>0</v>
      </c>
      <c r="K17" s="27">
        <f>COUNTIFS(Ambulatorio!$M$73:$M$483,"Ayudas Diagnósticas Laboratorio y Patología",Ambulatorio!$W$73:W$483,"7")</f>
        <v>0</v>
      </c>
      <c r="L17" s="27">
        <f>COUNTIFS(Ambulatorio!$M$73:$M$483,"Ayudas Diagnósticas Laboratorio y Patología",Ambulatorio!$X$73:X$483,"7")</f>
        <v>0</v>
      </c>
      <c r="M17" s="27">
        <f>COUNTIFS(Ambulatorio!$M$73:$M$483,"Ayudas Diagnósticas Laboratorio y Patología",Ambulatorio!$Y$73:Y$483,"7")</f>
        <v>0</v>
      </c>
      <c r="N17" s="27">
        <f>COUNTIFS(Ambulatorio!$M$73:$M$483,"Ayudas Diagnósticas Laboratorio y Patología",Ambulatorio!$Z$73:Z$483,"7")</f>
        <v>0</v>
      </c>
      <c r="O17" s="27">
        <f>COUNTIFS(Ambulatorio!$M$73:$M$483,"Ayudas Diagnósticas Laboratorio y Patología",Ambulatorio!$AA$73:AA$483,"7")</f>
        <v>0</v>
      </c>
      <c r="P17" s="27">
        <f>COUNTIFS(Ambulatorio!$M$73:$M$483,"Ayudas Diagnósticas Laboratorio y Patología",Ambulatorio!$AB$73:AB$483,"7")</f>
        <v>0</v>
      </c>
    </row>
    <row r="18" spans="1:16">
      <c r="A18" s="77" t="s">
        <v>113</v>
      </c>
      <c r="B18" s="27">
        <f>COUNTIFS(Ambulatorio!$M$73:$M$483,"Ayudas Diagnósticas Laboratorio y Patología",Ambulatorio!N$73:$N$483,"6")</f>
        <v>0</v>
      </c>
      <c r="C18" s="27">
        <f>COUNTIFS(Ambulatorio!$M$73:$M$483,"Ayudas Diagnósticas Laboratorio y Patología",Ambulatorio!$O$73:O$483,"6")</f>
        <v>0</v>
      </c>
      <c r="D18" s="27">
        <f>COUNTIFS(Ambulatorio!$M$73:$M$483,"Ayudas Diagnósticas Laboratorio y Patología",Ambulatorio!$P$73:P$483,"6")</f>
        <v>0</v>
      </c>
      <c r="E18" s="27">
        <f>COUNTIFS(Ambulatorio!$M$73:$M$483,"Ayudas Diagnósticas Laboratorio y Patología",Ambulatorio!$Q$73:Q$483,"6")</f>
        <v>0</v>
      </c>
      <c r="F18" s="27">
        <f>COUNTIFS(Ambulatorio!$M$73:$M$483,"Ayudas Diagnósticas Laboratorio y Patología",Ambulatorio!$R$73:R$483,"6")</f>
        <v>0</v>
      </c>
      <c r="G18" s="27">
        <f>COUNTIFS(Ambulatorio!$M$73:$M$483,"Ayudas Diagnósticas Laboratorio y Patología",Ambulatorio!$S$73:S$483,"6")</f>
        <v>0</v>
      </c>
      <c r="H18" s="27">
        <f>COUNTIFS(Ambulatorio!$M$73:$M$483,"Ayudas Diagnósticas Laboratorio y Patología",Ambulatorio!$T$73:T$483,"6")</f>
        <v>0</v>
      </c>
      <c r="I18" s="27">
        <f>COUNTIFS(Ambulatorio!$M$73:$M$483,"Ayudas Diagnósticas Laboratorio y Patología",Ambulatorio!$U$73:U$483,"6")</f>
        <v>0</v>
      </c>
      <c r="J18" s="27">
        <f>COUNTIFS(Ambulatorio!$M$73:$M$483,"Ayudas Diagnósticas Laboratorio y Patología",Ambulatorio!$V$73:V$483,"6")</f>
        <v>0</v>
      </c>
      <c r="K18" s="27">
        <f>COUNTIFS(Ambulatorio!$M$73:$M$483,"Ayudas Diagnósticas Laboratorio y Patología",Ambulatorio!$W$73:W$483,"6")</f>
        <v>0</v>
      </c>
      <c r="L18" s="27">
        <f>COUNTIFS(Ambulatorio!$M$73:$M$483,"Ayudas Diagnósticas Laboratorio y Patología",Ambulatorio!$X$73:X$483,"6")</f>
        <v>0</v>
      </c>
      <c r="M18" s="27">
        <f>COUNTIFS(Ambulatorio!$M$73:$M$483,"Ayudas Diagnósticas Laboratorio y Patología",Ambulatorio!$Y$73:Y$483,"6")</f>
        <v>0</v>
      </c>
      <c r="N18" s="27">
        <f>COUNTIFS(Ambulatorio!$M$73:$M$483,"Ayudas Diagnósticas Laboratorio y Patología",Ambulatorio!$Z$73:Z$483,"6")</f>
        <v>0</v>
      </c>
      <c r="O18" s="27">
        <f>COUNTIFS(Ambulatorio!$M$73:$M$483,"Ayudas Diagnósticas Laboratorio y Patología",Ambulatorio!$AA$73:AA$483,"6")</f>
        <v>0</v>
      </c>
      <c r="P18" s="27">
        <f>COUNTIFS(Ambulatorio!$M$73:$M$483,"Ayudas Diagnósticas Laboratorio y Patología",Ambulatorio!$AB$73:AB$483,"6")</f>
        <v>0</v>
      </c>
    </row>
    <row r="19" spans="1:16">
      <c r="A19" s="77" t="s">
        <v>114</v>
      </c>
      <c r="B19" s="27">
        <f>COUNTIFS(Ambulatorio!$M$73:$M$483,"Ayudas Diagnósticas Laboratorio y Patología",Ambulatorio!N$73:$N$483,"5")</f>
        <v>20</v>
      </c>
      <c r="C19" s="27">
        <f>COUNTIFS(Ambulatorio!$M$73:$M$483,"Ayudas Diagnósticas Laboratorio y Patología",Ambulatorio!$O$73:O$483,"5")</f>
        <v>20</v>
      </c>
      <c r="D19" s="27">
        <f>COUNTIFS(Ambulatorio!$M$73:$M$483,"Ayudas Diagnósticas Laboratorio y Patología",Ambulatorio!$P$73:P$483,"5")</f>
        <v>20</v>
      </c>
      <c r="E19" s="27">
        <f>COUNTIFS(Ambulatorio!$M$73:$M$483,"Ayudas Diagnósticas Laboratorio y Patología",Ambulatorio!$Q$73:Q$483,"5")</f>
        <v>20</v>
      </c>
      <c r="F19" s="27">
        <f>COUNTIFS(Ambulatorio!$M$73:$M$483,"Ayudas Diagnósticas Laboratorio y Patología",Ambulatorio!$R$73:R$483,"5")</f>
        <v>20</v>
      </c>
      <c r="G19" s="27">
        <f>COUNTIFS(Ambulatorio!$M$73:$M$483,"Ayudas Diagnósticas Laboratorio y Patología",Ambulatorio!$S$73:S$483,"5")</f>
        <v>20</v>
      </c>
      <c r="H19" s="27">
        <f>COUNTIFS(Ambulatorio!$M$73:$M$483,"Ayudas Diagnósticas Laboratorio y Patología",Ambulatorio!$T$73:T$483,"5")</f>
        <v>20</v>
      </c>
      <c r="I19" s="27">
        <f>COUNTIFS(Ambulatorio!$M$73:$M$483,"Ayudas Diagnósticas Laboratorio y Patología",Ambulatorio!$U$73:U$483,"5")</f>
        <v>20</v>
      </c>
      <c r="J19" s="27">
        <f>COUNTIFS(Ambulatorio!$M$73:$M$483,"Ayudas Diagnósticas Laboratorio y Patología",Ambulatorio!$V$73:V$483,"5")</f>
        <v>20</v>
      </c>
      <c r="K19" s="27">
        <f>COUNTIFS(Ambulatorio!$M$73:$M$483,"Ayudas Diagnósticas Laboratorio y Patología",Ambulatorio!$W$73:W$483,"5")</f>
        <v>20</v>
      </c>
      <c r="L19" s="27">
        <f>COUNTIFS(Ambulatorio!$M$73:$M$483,"Ayudas Diagnósticas Laboratorio y Patología",Ambulatorio!$X$73:X$483,"5")</f>
        <v>20</v>
      </c>
      <c r="M19" s="27">
        <f>COUNTIFS(Ambulatorio!$M$73:$M$483,"Ayudas Diagnósticas Laboratorio y Patología",Ambulatorio!$Y$73:Y$483,"5")</f>
        <v>20</v>
      </c>
      <c r="N19" s="27">
        <f>COUNTIFS(Ambulatorio!$M$73:$M$483,"Ayudas Diagnósticas Laboratorio y Patología",Ambulatorio!$Z$73:Z$483,"5")</f>
        <v>20</v>
      </c>
      <c r="O19" s="27">
        <f>COUNTIFS(Ambulatorio!$M$73:$M$483,"Ayudas Diagnósticas Laboratorio y Patología",Ambulatorio!$AA$73:AA$483,"5")</f>
        <v>20</v>
      </c>
      <c r="P19" s="27">
        <f>COUNTIFS(Ambulatorio!$M$73:$M$483,"Ayudas Diagnósticas Laboratorio y Patología",Ambulatorio!$AB$73:AB$483,"5")</f>
        <v>20</v>
      </c>
    </row>
    <row r="20" spans="1:16">
      <c r="A20" s="77" t="s">
        <v>115</v>
      </c>
      <c r="B20" s="27">
        <f>COUNTIFS(Ambulatorio!$M$73:$M$483,"Ayudas Diagnósticas Laboratorio y Patología",Ambulatorio!N$73:$N$483,"4")</f>
        <v>0</v>
      </c>
      <c r="C20" s="27">
        <f>COUNTIFS(Ambulatorio!$M$73:$M$483,"Ayudas Diagnósticas Laboratorio y Patología",Ambulatorio!$O$73:O$483,"4")</f>
        <v>0</v>
      </c>
      <c r="D20" s="27">
        <f>COUNTIFS(Ambulatorio!$M$73:$M$483,"Ayudas Diagnósticas Laboratorio y Patología",Ambulatorio!$P$73:P$483,"4")</f>
        <v>0</v>
      </c>
      <c r="E20" s="27">
        <f>COUNTIFS(Ambulatorio!$M$73:$M$483,"Ayudas Diagnósticas Laboratorio y Patología",Ambulatorio!$Q$73:Q$483,"4")</f>
        <v>0</v>
      </c>
      <c r="F20" s="27">
        <f>COUNTIFS(Ambulatorio!$M$73:$M$483,"Ayudas Diagnósticas Laboratorio y Patología",Ambulatorio!$R$73:R$483,"4")</f>
        <v>0</v>
      </c>
      <c r="G20" s="27">
        <f>COUNTIFS(Ambulatorio!$M$73:$M$483,"Ayudas Diagnósticas Laboratorio y Patología",Ambulatorio!$S$73:S$483,"4")</f>
        <v>0</v>
      </c>
      <c r="H20" s="27">
        <f>COUNTIFS(Ambulatorio!$M$73:$M$483,"Ayudas Diagnósticas Laboratorio y Patología",Ambulatorio!$T$73:T$483,"4")</f>
        <v>0</v>
      </c>
      <c r="I20" s="27">
        <f>COUNTIFS(Ambulatorio!$M$73:$M$483,"Ayudas Diagnósticas Laboratorio y Patología",Ambulatorio!$U$73:U$483,"4")</f>
        <v>0</v>
      </c>
      <c r="J20" s="27">
        <f>COUNTIFS(Ambulatorio!$M$73:$M$483,"Ayudas Diagnósticas Laboratorio y Patología",Ambulatorio!$V$73:V$483,"4")</f>
        <v>0</v>
      </c>
      <c r="K20" s="27">
        <f>COUNTIFS(Ambulatorio!$M$73:$M$483,"Ayudas Diagnósticas Laboratorio y Patología",Ambulatorio!$W$73:W$483,"4")</f>
        <v>0</v>
      </c>
      <c r="L20" s="27">
        <f>COUNTIFS(Ambulatorio!$M$73:$M$483,"Ayudas Diagnósticas Laboratorio y Patología",Ambulatorio!$X$73:X$483,"4")</f>
        <v>0</v>
      </c>
      <c r="M20" s="27">
        <f>COUNTIFS(Ambulatorio!$M$73:$M$483,"Ayudas Diagnósticas Laboratorio y Patología",Ambulatorio!$Y$73:Y$483,"4")</f>
        <v>0</v>
      </c>
      <c r="N20" s="27">
        <f>COUNTIFS(Ambulatorio!$M$73:$M$483,"Ayudas Diagnósticas Laboratorio y Patología",Ambulatorio!$Z$73:Z$483,"4")</f>
        <v>0</v>
      </c>
      <c r="O20" s="27">
        <f>COUNTIFS(Ambulatorio!$M$73:$M$483,"Ayudas Diagnósticas Laboratorio y Patología",Ambulatorio!$AA$73:AA$483,"4")</f>
        <v>0</v>
      </c>
      <c r="P20" s="27">
        <f>COUNTIFS(Ambulatorio!$M$73:$M$483,"Ayudas Diagnósticas Laboratorio y Patología",Ambulatorio!$AB$73:AB$483,"4")</f>
        <v>0</v>
      </c>
    </row>
    <row r="21" spans="1:16">
      <c r="A21" s="77" t="s">
        <v>116</v>
      </c>
      <c r="B21" s="27">
        <f>COUNTIFS(Ambulatorio!$M$73:$M$483,"Ayudas Diagnósticas Laboratorio y Patología",Ambulatorio!N$73:$N$483,"3")</f>
        <v>0</v>
      </c>
      <c r="C21" s="27">
        <f>COUNTIFS(Ambulatorio!$M$73:$M$483,"Ayudas Diagnósticas Laboratorio y Patología",Ambulatorio!$O$73:O$483,"3")</f>
        <v>0</v>
      </c>
      <c r="D21" s="27">
        <f>COUNTIFS(Ambulatorio!$M$73:$M$483,"Ayudas Diagnósticas Laboratorio y Patología",Ambulatorio!$P$73:P$483,"3")</f>
        <v>0</v>
      </c>
      <c r="E21" s="27">
        <f>COUNTIFS(Ambulatorio!$M$73:$M$483,"Ayudas Diagnósticas Laboratorio y Patología",Ambulatorio!$Q$73:Q$483,"3")</f>
        <v>0</v>
      </c>
      <c r="F21" s="27">
        <f>COUNTIFS(Ambulatorio!$M$73:$M$483,"Ayudas Diagnósticas Laboratorio y Patología",Ambulatorio!$R$73:R$483,"3")</f>
        <v>0</v>
      </c>
      <c r="G21" s="27">
        <f>COUNTIFS(Ambulatorio!$M$73:$M$483,"Ayudas Diagnósticas Laboratorio y Patología",Ambulatorio!$S$73:S$483,"3")</f>
        <v>0</v>
      </c>
      <c r="H21" s="27">
        <f>COUNTIFS(Ambulatorio!$M$73:$M$483,"Ayudas Diagnósticas Laboratorio y Patología",Ambulatorio!$T$73:T$483,"3")</f>
        <v>0</v>
      </c>
      <c r="I21" s="27">
        <f>COUNTIFS(Ambulatorio!$M$73:$M$483,"Ayudas Diagnósticas Laboratorio y Patología",Ambulatorio!$U$73:U$483,"3")</f>
        <v>0</v>
      </c>
      <c r="J21" s="27">
        <f>COUNTIFS(Ambulatorio!$M$73:$M$483,"Ayudas Diagnósticas Laboratorio y Patología",Ambulatorio!$V$73:V$483,"3")</f>
        <v>0</v>
      </c>
      <c r="K21" s="27">
        <f>COUNTIFS(Ambulatorio!$M$73:$M$483,"Ayudas Diagnósticas Laboratorio y Patología",Ambulatorio!$W$73:W$483,"3")</f>
        <v>0</v>
      </c>
      <c r="L21" s="27">
        <f>COUNTIFS(Ambulatorio!$M$73:$M$483,"Ayudas Diagnósticas Laboratorio y Patología",Ambulatorio!$X$73:X$483,"3")</f>
        <v>0</v>
      </c>
      <c r="M21" s="27">
        <f>COUNTIFS(Ambulatorio!$M$73:$M$483,"Ayudas Diagnósticas Laboratorio y Patología",Ambulatorio!$Y$73:Y$483,"3")</f>
        <v>0</v>
      </c>
      <c r="N21" s="27">
        <f>COUNTIFS(Ambulatorio!$M$73:$M$483,"Ayudas Diagnósticas Laboratorio y Patología",Ambulatorio!$Z$73:Z$483,"3")</f>
        <v>0</v>
      </c>
      <c r="O21" s="27">
        <f>COUNTIFS(Ambulatorio!$M$73:$M$483,"Ayudas Diagnósticas Laboratorio y Patología",Ambulatorio!$AA$73:AA$483,"3")</f>
        <v>0</v>
      </c>
      <c r="P21" s="27">
        <f>COUNTIFS(Ambulatorio!$M$73:$M$483,"Ayudas Diagnósticas Laboratorio y Patología",Ambulatorio!$AB$73:AB$483,"3")</f>
        <v>0</v>
      </c>
    </row>
    <row r="22" spans="1:16">
      <c r="A22" s="77" t="s">
        <v>117</v>
      </c>
      <c r="B22" s="27">
        <f>COUNTIFS(Ambulatorio!$M$73:$M$483,"Ayudas Diagnósticas Laboratorio y Patología",Ambulatorio!N$73:$N$483,"2")</f>
        <v>0</v>
      </c>
      <c r="C22" s="27">
        <f>COUNTIFS(Ambulatorio!$M$73:$M$483,"Ayudas Diagnósticas Laboratorio y Patología",Ambulatorio!$O$73:O$483,"2")</f>
        <v>0</v>
      </c>
      <c r="D22" s="27">
        <f>COUNTIFS(Ambulatorio!$M$73:$M$483,"Ayudas Diagnósticas Laboratorio y Patología",Ambulatorio!$P$73:P$483,"2")</f>
        <v>0</v>
      </c>
      <c r="E22" s="27">
        <f>COUNTIFS(Ambulatorio!$M$73:$M$483,"Ayudas Diagnósticas Laboratorio y Patología",Ambulatorio!$Q$73:Q$483,"2")</f>
        <v>0</v>
      </c>
      <c r="F22" s="27">
        <f>COUNTIFS(Ambulatorio!$M$73:$M$483,"Ayudas Diagnósticas Laboratorio y Patología",Ambulatorio!$R$73:R$483,"2")</f>
        <v>0</v>
      </c>
      <c r="G22" s="27">
        <f>COUNTIFS(Ambulatorio!$M$73:$M$483,"Ayudas Diagnósticas Laboratorio y Patología",Ambulatorio!$S$73:S$483,"2")</f>
        <v>0</v>
      </c>
      <c r="H22" s="27">
        <f>COUNTIFS(Ambulatorio!$M$73:$M$483,"Ayudas Diagnósticas Laboratorio y Patología",Ambulatorio!$T$73:T$483,"2")</f>
        <v>0</v>
      </c>
      <c r="I22" s="27">
        <f>COUNTIFS(Ambulatorio!$M$73:$M$483,"Ayudas Diagnósticas Laboratorio y Patología",Ambulatorio!$U$73:U$483,"2")</f>
        <v>0</v>
      </c>
      <c r="J22" s="27">
        <f>COUNTIFS(Ambulatorio!$M$73:$M$483,"Ayudas Diagnósticas Laboratorio y Patología",Ambulatorio!$V$73:V$483,"2")</f>
        <v>0</v>
      </c>
      <c r="K22" s="27">
        <f>COUNTIFS(Ambulatorio!$M$73:$M$483,"Ayudas Diagnósticas Laboratorio y Patología",Ambulatorio!$W$73:W$483,"2")</f>
        <v>0</v>
      </c>
      <c r="L22" s="27">
        <f>COUNTIFS(Ambulatorio!$M$73:$M$483,"Ayudas Diagnósticas Laboratorio y Patología",Ambulatorio!$X$73:X$483,"2")</f>
        <v>0</v>
      </c>
      <c r="M22" s="27">
        <f>COUNTIFS(Ambulatorio!$M$73:$M$483,"Ayudas Diagnósticas Laboratorio y Patología",Ambulatorio!$Y$73:Y$483,"2")</f>
        <v>0</v>
      </c>
      <c r="N22" s="27">
        <f>COUNTIFS(Ambulatorio!$M$73:$M$483,"Ayudas Diagnósticas Laboratorio y Patología",Ambulatorio!$Z$73:Z$483,"2")</f>
        <v>0</v>
      </c>
      <c r="O22" s="27">
        <f>COUNTIFS(Ambulatorio!$M$73:$M$483,"Ayudas Diagnósticas Laboratorio y Patología",Ambulatorio!$AA$73:AA$483,"2")</f>
        <v>0</v>
      </c>
      <c r="P22" s="27">
        <f>COUNTIFS(Ambulatorio!$M$73:$M$483,"Ayudas Diagnósticas Laboratorio y Patología",Ambulatorio!$AB$73:AB$483,"2")</f>
        <v>0</v>
      </c>
    </row>
    <row r="23" spans="1:16">
      <c r="A23" s="77" t="s">
        <v>118</v>
      </c>
      <c r="B23" s="27">
        <f>COUNTIFS(Ambulatorio!$M$73:$M$483,"Ayudas Diagnósticas Laboratorio y Patología",Ambulatorio!N$73:$N$483,"1")</f>
        <v>0</v>
      </c>
      <c r="C23" s="27">
        <f>COUNTIFS(Ambulatorio!$M$73:$M$483,"Ayudas Diagnósticas Laboratorio y Patología",Ambulatorio!$O$73:O$483,"1")</f>
        <v>0</v>
      </c>
      <c r="D23" s="27">
        <f>COUNTIFS(Ambulatorio!$M$73:$M$483,"Ayudas Diagnósticas Laboratorio y Patología",Ambulatorio!$P$73:P$483,"1")</f>
        <v>0</v>
      </c>
      <c r="E23" s="27">
        <f>COUNTIFS(Ambulatorio!$M$73:$M$483,"Ayudas Diagnósticas Laboratorio y Patología",Ambulatorio!$Q$73:Q$483,"1")</f>
        <v>0</v>
      </c>
      <c r="F23" s="27">
        <f>COUNTIFS(Ambulatorio!$M$73:$M$483,"Ayudas Diagnósticas Laboratorio y Patología",Ambulatorio!$R$73:R$483,"1")</f>
        <v>0</v>
      </c>
      <c r="G23" s="27">
        <f>COUNTIFS(Ambulatorio!$M$73:$M$483,"Ayudas Diagnósticas Laboratorio y Patología",Ambulatorio!$S$73:S$483,"1")</f>
        <v>0</v>
      </c>
      <c r="H23" s="27">
        <f>COUNTIFS(Ambulatorio!$M$73:$M$483,"Ayudas Diagnósticas Laboratorio y Patología",Ambulatorio!$T$73:T$483,"1")</f>
        <v>0</v>
      </c>
      <c r="I23" s="27">
        <f>COUNTIFS(Ambulatorio!$M$73:$M$483,"Ayudas Diagnósticas Laboratorio y Patología",Ambulatorio!$U$73:U$483,"1")</f>
        <v>0</v>
      </c>
      <c r="J23" s="27">
        <f>COUNTIFS(Ambulatorio!$M$73:$M$483,"Ayudas Diagnósticas Laboratorio y Patología",Ambulatorio!$V$73:V$483,"1")</f>
        <v>0</v>
      </c>
      <c r="K23" s="27">
        <f>COUNTIFS(Ambulatorio!$M$73:$M$483,"Ayudas Diagnósticas Laboratorio y Patología",Ambulatorio!$W$73:W$483,"1")</f>
        <v>0</v>
      </c>
      <c r="L23" s="27">
        <f>COUNTIFS(Ambulatorio!$M$73:$M$483,"Ayudas Diagnósticas Laboratorio y Patología",Ambulatorio!$X$73:X$483,"1")</f>
        <v>0</v>
      </c>
      <c r="M23" s="27">
        <f>COUNTIFS(Ambulatorio!$M$73:$M$483,"Ayudas Diagnósticas Laboratorio y Patología",Ambulatorio!$Y$73:Y$483,"1")</f>
        <v>0</v>
      </c>
      <c r="N23" s="27">
        <f>COUNTIFS(Ambulatorio!$M$73:$M$483,"Ayudas Diagnósticas Laboratorio y Patología",Ambulatorio!$Z$73:Z$483,"1")</f>
        <v>0</v>
      </c>
      <c r="O23" s="27">
        <f>COUNTIFS(Ambulatorio!$M$73:$M$483,"Ayudas Diagnósticas Laboratorio y Patología",Ambulatorio!$AA$73:AA$483,"1")</f>
        <v>0</v>
      </c>
      <c r="P23" s="27">
        <f>COUNTIFS(Ambulatorio!$M$73:$M$483,"Ayudas Diagnósticas Laboratorio y Patología",Ambulatorio!$AB$73:AB$483,"1")</f>
        <v>0</v>
      </c>
    </row>
    <row r="24" spans="1:16">
      <c r="B24" s="25">
        <f>SUM(B16:B23)</f>
        <v>20</v>
      </c>
      <c r="C24" s="25">
        <f t="shared" ref="C24:O24" si="1">SUM(C17:C23)</f>
        <v>20</v>
      </c>
      <c r="D24" s="25">
        <f t="shared" si="1"/>
        <v>20</v>
      </c>
      <c r="E24" s="25">
        <f t="shared" si="1"/>
        <v>20</v>
      </c>
      <c r="F24" s="25">
        <f t="shared" si="1"/>
        <v>20</v>
      </c>
      <c r="G24" s="25">
        <f t="shared" si="1"/>
        <v>20</v>
      </c>
      <c r="H24" s="25">
        <f t="shared" si="1"/>
        <v>20</v>
      </c>
      <c r="I24" s="25">
        <f t="shared" si="1"/>
        <v>20</v>
      </c>
      <c r="J24" s="25">
        <f t="shared" si="1"/>
        <v>20</v>
      </c>
      <c r="K24" s="25">
        <f t="shared" si="1"/>
        <v>20</v>
      </c>
      <c r="L24" s="25">
        <f t="shared" si="1"/>
        <v>20</v>
      </c>
      <c r="M24" s="25">
        <f t="shared" si="1"/>
        <v>20</v>
      </c>
      <c r="N24" s="25">
        <f t="shared" si="1"/>
        <v>20</v>
      </c>
      <c r="O24" s="25">
        <f t="shared" si="1"/>
        <v>20</v>
      </c>
      <c r="P24" s="25">
        <f>SUM(P16:P23)</f>
        <v>20</v>
      </c>
    </row>
    <row r="26" spans="1:16" ht="35.4" customHeight="1">
      <c r="B26" s="187" t="s">
        <v>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ht="52.8">
      <c r="B27" s="90" t="s">
        <v>99</v>
      </c>
      <c r="C27" s="90" t="s">
        <v>100</v>
      </c>
      <c r="D27" s="90" t="s">
        <v>101</v>
      </c>
      <c r="E27" s="90" t="s">
        <v>102</v>
      </c>
      <c r="F27" s="90" t="s">
        <v>103</v>
      </c>
      <c r="G27" s="90" t="s">
        <v>104</v>
      </c>
      <c r="H27" s="90" t="s">
        <v>105</v>
      </c>
      <c r="I27" s="90" t="s">
        <v>106</v>
      </c>
      <c r="J27" s="90" t="s">
        <v>107</v>
      </c>
      <c r="K27" s="90" t="s">
        <v>108</v>
      </c>
      <c r="L27" s="90" t="s">
        <v>109</v>
      </c>
      <c r="M27" s="90" t="s">
        <v>110</v>
      </c>
      <c r="N27" s="90" t="s">
        <v>132</v>
      </c>
      <c r="O27" s="90" t="s">
        <v>133</v>
      </c>
      <c r="P27" s="90" t="s">
        <v>134</v>
      </c>
    </row>
    <row r="28" spans="1:16">
      <c r="A28" s="5" t="s">
        <v>111</v>
      </c>
      <c r="B28" s="27">
        <f>COUNTIFS(Ambulatorio!$M$73:$M$483,"Ayudas Diagnósticas RX - TAC",Ambulatorio!N$73:$N$483,"8")</f>
        <v>0</v>
      </c>
      <c r="C28" s="27">
        <f>COUNTIFS(Ambulatorio!$M$73:$M$483,"Ayudas Diagnósticas RX - TAC",Ambulatorio!$O$73:O$483,"8")</f>
        <v>0</v>
      </c>
      <c r="D28" s="27">
        <f>COUNTIFS(Ambulatorio!$M$73:$M$483,"Ayudas Diagnósticas RX - TAC",Ambulatorio!$P$73:P$483,"8")</f>
        <v>0</v>
      </c>
      <c r="E28" s="27">
        <f>COUNTIFS(Ambulatorio!$M$73:$M$483,"Ayudas Diagnósticas RX - TAC",Ambulatorio!$Q$73:Q$483,"8")</f>
        <v>0</v>
      </c>
      <c r="F28" s="27">
        <f>COUNTIFS(Ambulatorio!$M$73:$M$483,"Ayudas Diagnósticas RX - TAC",Ambulatorio!$R$73:R$483,"8")</f>
        <v>0</v>
      </c>
      <c r="G28" s="27">
        <f>COUNTIFS(Ambulatorio!$M$73:$M$483,"Ayudas Diagnósticas RX - TAC",Ambulatorio!$S$73:S$483,"8")</f>
        <v>0</v>
      </c>
      <c r="H28" s="27">
        <f>COUNTIFS(Ambulatorio!$M$73:$M$483,"Ayudas Diagnósticas RX - TAC",Ambulatorio!$T$73:T$483,"8")</f>
        <v>0</v>
      </c>
      <c r="I28" s="27">
        <f>COUNTIFS(Ambulatorio!$M$73:$M$483,"Ayudas Diagnósticas RX - TAC",Ambulatorio!$U$73:U$483,"8")</f>
        <v>0</v>
      </c>
      <c r="J28" s="27">
        <f>COUNTIFS(Ambulatorio!$M$73:$M$483,"Ayudas Diagnósticas RX - TAC",Ambulatorio!$V$73:V$483,"8")</f>
        <v>0</v>
      </c>
      <c r="K28" s="27">
        <f>COUNTIFS(Ambulatorio!$M$73:$M$483,"Ayudas Diagnósticas RX - TAC",Ambulatorio!$W$73:W$483,"8")</f>
        <v>0</v>
      </c>
      <c r="L28" s="27">
        <f>COUNTIFS(Ambulatorio!$M$73:$M$483,"Ayudas Diagnósticas RX - TAC",Ambulatorio!$X$73:X$483,"8")</f>
        <v>0</v>
      </c>
      <c r="M28" s="27">
        <f>COUNTIFS(Ambulatorio!$M$73:$M$483,"Ayudas Diagnósticas RX - TAC",Ambulatorio!$Y$73:Y$483,"8")</f>
        <v>0</v>
      </c>
      <c r="N28" s="27">
        <f>COUNTIFS(Ambulatorio!$M$73:$M$483,"Ayudas Diagnósticas RX - TAC",Ambulatorio!$Z$73:Z$483,"8")</f>
        <v>0</v>
      </c>
      <c r="O28" s="27">
        <f>COUNTIFS(Ambulatorio!$M$73:$M$483,"Ayudas Diagnósticas RX - TAC",Ambulatorio!$AA$73:AA$483,"8")</f>
        <v>0</v>
      </c>
      <c r="P28" s="27">
        <f>COUNTIFS(Ambulatorio!$M$73:$M$483,"Ayudas Diagnósticas RX - TAC",Ambulatorio!$AB$73:AB$483,"8")</f>
        <v>0</v>
      </c>
    </row>
    <row r="29" spans="1:16">
      <c r="A29" s="5" t="s">
        <v>112</v>
      </c>
      <c r="B29" s="27">
        <f>COUNTIFS(Ambulatorio!$M$73:$M$483,"Ayudas Diagnósticas RX - TAC",Ambulatorio!N$73:$N$483,"7")</f>
        <v>0</v>
      </c>
      <c r="C29" s="27">
        <f>COUNTIFS(Ambulatorio!$M$73:$M$483,"Ayudas Diagnósticas RX - TAC",Ambulatorio!$O$73:O$483,"7")</f>
        <v>0</v>
      </c>
      <c r="D29" s="27">
        <f>COUNTIFS(Ambulatorio!$M$73:$M$483,"Ayudas Diagnósticas RX - TAC",Ambulatorio!$P$73:P$483,"7")</f>
        <v>0</v>
      </c>
      <c r="E29" s="27">
        <f>COUNTIFS(Ambulatorio!$M$73:$M$483,"Ayudas Diagnósticas RX - TAC",Ambulatorio!$Q$73:Q$483,"7")</f>
        <v>0</v>
      </c>
      <c r="F29" s="27">
        <f>COUNTIFS(Ambulatorio!$M$73:$M$483,"Ayudas Diagnósticas RX - TAC",Ambulatorio!$R$73:R$483,"7")</f>
        <v>0</v>
      </c>
      <c r="G29" s="27">
        <f>COUNTIFS(Ambulatorio!$M$73:$M$483,"Ayudas Diagnósticas RX - TAC",Ambulatorio!$S$73:S$483,"7")</f>
        <v>0</v>
      </c>
      <c r="H29" s="27">
        <f>COUNTIFS(Ambulatorio!$M$73:$M$483,"Ayudas Diagnósticas RX - TAC",Ambulatorio!$T$73:T$483,"7")</f>
        <v>0</v>
      </c>
      <c r="I29" s="27">
        <f>COUNTIFS(Ambulatorio!$M$73:$M$483,"Ayudas Diagnósticas RX - TAC",Ambulatorio!$U$73:U$483,"7")</f>
        <v>0</v>
      </c>
      <c r="J29" s="27">
        <f>COUNTIFS(Ambulatorio!$M$73:$M$483,"Ayudas Diagnósticas RX - TAC",Ambulatorio!$V$73:V$483,"7")</f>
        <v>0</v>
      </c>
      <c r="K29" s="27">
        <f>COUNTIFS(Ambulatorio!$M$73:$M$483,"Ayudas Diagnósticas RX - TAC",Ambulatorio!$W$73:W$483,"7")</f>
        <v>0</v>
      </c>
      <c r="L29" s="27">
        <f>COUNTIFS(Ambulatorio!$M$73:$M$483,"Ayudas Diagnósticas RX - TAC",Ambulatorio!$X$73:X$483,"7")</f>
        <v>0</v>
      </c>
      <c r="M29" s="27">
        <f>COUNTIFS(Ambulatorio!$M$73:$M$483,"Ayudas Diagnósticas RX - TAC",Ambulatorio!$Y$73:Y$483,"7")</f>
        <v>0</v>
      </c>
      <c r="N29" s="27">
        <f>COUNTIFS(Ambulatorio!$M$73:$M$483,"Ayudas Diagnósticas RX - TAC",Ambulatorio!$Z$73:Z$483,"7")</f>
        <v>0</v>
      </c>
      <c r="O29" s="27">
        <f>COUNTIFS(Ambulatorio!$M$73:$M$483,"Ayudas Diagnósticas RX - TAC",Ambulatorio!$AA$73:AA$483,"7")</f>
        <v>0</v>
      </c>
      <c r="P29" s="27">
        <f>COUNTIFS(Ambulatorio!$M$73:$M$483,"Ayudas Diagnósticas RX - TAC",Ambulatorio!$AB$73:AB$483,"7")</f>
        <v>0</v>
      </c>
    </row>
    <row r="30" spans="1:16">
      <c r="A30" s="77" t="s">
        <v>113</v>
      </c>
      <c r="B30" s="27">
        <f>COUNTIFS(Ambulatorio!$M$73:$M$483,"Ayudas Diagnósticas RX - TAC",Ambulatorio!N$73:$N$483,"6")</f>
        <v>0</v>
      </c>
      <c r="C30" s="27">
        <f>COUNTIFS(Ambulatorio!$M$73:$M$483,"Ayudas Diagnósticas RX - TAC",Ambulatorio!$O$73:O$483,"6")</f>
        <v>0</v>
      </c>
      <c r="D30" s="27">
        <f>COUNTIFS(Ambulatorio!$M$73:$M$483,"Ayudas Diagnósticas RX - TAC",Ambulatorio!$P$73:P$483,"6")</f>
        <v>0</v>
      </c>
      <c r="E30" s="27">
        <f>COUNTIFS(Ambulatorio!$M$73:$M$483,"Ayudas Diagnósticas RX - TAC",Ambulatorio!$Q$73:Q$483,"6")</f>
        <v>0</v>
      </c>
      <c r="F30" s="27">
        <f>COUNTIFS(Ambulatorio!$M$73:$M$483,"Ayudas Diagnósticas RX - TAC",Ambulatorio!$R$73:R$483,"6")</f>
        <v>0</v>
      </c>
      <c r="G30" s="27">
        <f>COUNTIFS(Ambulatorio!$M$73:$M$483,"Ayudas Diagnósticas RX - TAC",Ambulatorio!$S$73:S$483,"6")</f>
        <v>0</v>
      </c>
      <c r="H30" s="27">
        <f>COUNTIFS(Ambulatorio!$M$73:$M$483,"Ayudas Diagnósticas RX - TAC",Ambulatorio!$T$73:T$483,"6")</f>
        <v>0</v>
      </c>
      <c r="I30" s="27">
        <f>COUNTIFS(Ambulatorio!$M$73:$M$483,"Ayudas Diagnósticas RX - TAC",Ambulatorio!$U$73:U$483,"6")</f>
        <v>0</v>
      </c>
      <c r="J30" s="27">
        <f>COUNTIFS(Ambulatorio!$M$73:$M$483,"Ayudas Diagnósticas RX - TAC",Ambulatorio!$V$73:V$483,"6")</f>
        <v>0</v>
      </c>
      <c r="K30" s="27">
        <f>COUNTIFS(Ambulatorio!$M$73:$M$483,"Ayudas Diagnósticas RX - TAC",Ambulatorio!$W$73:W$483,"6")</f>
        <v>0</v>
      </c>
      <c r="L30" s="27">
        <f>COUNTIFS(Ambulatorio!$M$73:$M$483,"Ayudas Diagnósticas RX - TAC",Ambulatorio!$X$73:X$483,"6")</f>
        <v>0</v>
      </c>
      <c r="M30" s="27">
        <f>COUNTIFS(Ambulatorio!$M$73:$M$483,"Ayudas Diagnósticas RX - TAC",Ambulatorio!$Y$73:Y$483,"6")</f>
        <v>0</v>
      </c>
      <c r="N30" s="27">
        <f>COUNTIFS(Ambulatorio!$M$73:$M$483,"Ayudas Diagnósticas RX - TAC",Ambulatorio!$Z$73:Z$483,"6")</f>
        <v>0</v>
      </c>
      <c r="O30" s="27">
        <f>COUNTIFS(Ambulatorio!$M$73:$M$483,"Ayudas Diagnósticas RX - TAC",Ambulatorio!$AA$73:AA$483,"6")</f>
        <v>0</v>
      </c>
      <c r="P30" s="27">
        <f>COUNTIFS(Ambulatorio!$M$73:$M$483,"Ayudas Diagnósticas RX - TAC",Ambulatorio!$AB$73:AB$483,"6")</f>
        <v>0</v>
      </c>
    </row>
    <row r="31" spans="1:16">
      <c r="A31" s="77" t="s">
        <v>114</v>
      </c>
      <c r="B31" s="27">
        <f>COUNTIFS(Ambulatorio!$M$73:$M$483,"Ayudas Diagnósticas RX - TAC",Ambulatorio!N$73:$N$483,"5")</f>
        <v>21</v>
      </c>
      <c r="C31" s="27">
        <f>COUNTIFS(Ambulatorio!$M$73:$M$483,"Ayudas Diagnósticas RX - TAC",Ambulatorio!$O$73:O$483,"5")</f>
        <v>21</v>
      </c>
      <c r="D31" s="27">
        <f>COUNTIFS(Ambulatorio!$M$73:$M$483,"Ayudas Diagnósticas RX - TAC",Ambulatorio!$P$73:P$483,"5")</f>
        <v>21</v>
      </c>
      <c r="E31" s="27">
        <f>COUNTIFS(Ambulatorio!$M$73:$M$483,"Ayudas Diagnósticas RX - TAC",Ambulatorio!$Q$73:Q$483,"5")</f>
        <v>21</v>
      </c>
      <c r="F31" s="27">
        <f>COUNTIFS(Ambulatorio!$M$73:$M$483,"Ayudas Diagnósticas RX - TAC",Ambulatorio!$R$73:R$483,"5")</f>
        <v>21</v>
      </c>
      <c r="G31" s="27">
        <f>COUNTIFS(Ambulatorio!$M$73:$M$483,"Ayudas Diagnósticas RX - TAC",Ambulatorio!$S$73:S$483,"5")</f>
        <v>21</v>
      </c>
      <c r="H31" s="27">
        <f>COUNTIFS(Ambulatorio!$M$73:$M$483,"Ayudas Diagnósticas RX - TAC",Ambulatorio!$T$73:T$483,"5")</f>
        <v>21</v>
      </c>
      <c r="I31" s="27">
        <f>COUNTIFS(Ambulatorio!$M$73:$M$483,"Ayudas Diagnósticas RX - TAC",Ambulatorio!$U$73:U$483,"5")</f>
        <v>21</v>
      </c>
      <c r="J31" s="27">
        <f>COUNTIFS(Ambulatorio!$M$73:$M$483,"Ayudas Diagnósticas RX - TAC",Ambulatorio!$V$73:V$483,"5")</f>
        <v>21</v>
      </c>
      <c r="K31" s="27">
        <f>COUNTIFS(Ambulatorio!$M$73:$M$483,"Ayudas Diagnósticas RX - TAC",Ambulatorio!$W$73:W$483,"5")</f>
        <v>21</v>
      </c>
      <c r="L31" s="27">
        <f>COUNTIFS(Ambulatorio!$M$73:$M$483,"Ayudas Diagnósticas RX - TAC",Ambulatorio!$X$73:X$483,"5")</f>
        <v>21</v>
      </c>
      <c r="M31" s="27">
        <f>COUNTIFS(Ambulatorio!$M$73:$M$483,"Ayudas Diagnósticas RX - TAC",Ambulatorio!$Y$73:Y$483,"5")</f>
        <v>21</v>
      </c>
      <c r="N31" s="27">
        <f>COUNTIFS(Ambulatorio!$M$73:$M$483,"Ayudas Diagnósticas RX - TAC",Ambulatorio!$Z$73:Z$483,"5")</f>
        <v>21</v>
      </c>
      <c r="O31" s="27">
        <f>COUNTIFS(Ambulatorio!$M$73:$M$483,"Ayudas Diagnósticas RX - TAC",Ambulatorio!$AA$73:AA$483,"5")</f>
        <v>21</v>
      </c>
      <c r="P31" s="27">
        <f>COUNTIFS(Ambulatorio!$M$73:$M$483,"Ayudas Diagnósticas RX - TAC",Ambulatorio!$AB$73:AB$483,"5")</f>
        <v>21</v>
      </c>
    </row>
    <row r="32" spans="1:16">
      <c r="A32" s="77" t="s">
        <v>115</v>
      </c>
      <c r="B32" s="27">
        <f>COUNTIFS(Ambulatorio!$M$73:$M$483,"Ayudas Diagnósticas RX - TAC",Ambulatorio!N$73:$N$483,"4")</f>
        <v>0</v>
      </c>
      <c r="C32" s="27">
        <f>COUNTIFS(Ambulatorio!$M$73:$M$483,"Ayudas Diagnósticas RX - TAC",Ambulatorio!$O$73:O$483,"4")</f>
        <v>0</v>
      </c>
      <c r="D32" s="27">
        <f>COUNTIFS(Ambulatorio!$M$73:$M$483,"Ayudas Diagnósticas RX - TAC",Ambulatorio!$P$73:P$483,"4")</f>
        <v>0</v>
      </c>
      <c r="E32" s="27">
        <f>COUNTIFS(Ambulatorio!$M$73:$M$483,"Ayudas Diagnósticas RX - TAC",Ambulatorio!$Q$73:Q$483,"4")</f>
        <v>0</v>
      </c>
      <c r="F32" s="27">
        <f>COUNTIFS(Ambulatorio!$M$73:$M$483,"Ayudas Diagnósticas RX - TAC",Ambulatorio!$R$73:R$483,"4")</f>
        <v>0</v>
      </c>
      <c r="G32" s="27">
        <f>COUNTIFS(Ambulatorio!$M$73:$M$483,"Ayudas Diagnósticas RX - TAC",Ambulatorio!$S$73:S$483,"4")</f>
        <v>0</v>
      </c>
      <c r="H32" s="27">
        <f>COUNTIFS(Ambulatorio!$M$73:$M$483,"Ayudas Diagnósticas RX - TAC",Ambulatorio!$T$73:T$483,"4")</f>
        <v>0</v>
      </c>
      <c r="I32" s="27">
        <f>COUNTIFS(Ambulatorio!$M$73:$M$483,"Ayudas Diagnósticas RX - TAC",Ambulatorio!$U$73:U$483,"4")</f>
        <v>0</v>
      </c>
      <c r="J32" s="27">
        <f>COUNTIFS(Ambulatorio!$M$73:$M$483,"Ayudas Diagnósticas RX - TAC",Ambulatorio!$V$73:V$483,"4")</f>
        <v>0</v>
      </c>
      <c r="K32" s="27">
        <f>COUNTIFS(Ambulatorio!$M$73:$M$483,"Ayudas Diagnósticas RX - TAC",Ambulatorio!$W$73:W$483,"4")</f>
        <v>0</v>
      </c>
      <c r="L32" s="27">
        <f>COUNTIFS(Ambulatorio!$M$73:$M$483,"Ayudas Diagnósticas RX - TAC",Ambulatorio!$X$73:X$483,"4")</f>
        <v>0</v>
      </c>
      <c r="M32" s="27">
        <f>COUNTIFS(Ambulatorio!$M$73:$M$483,"Ayudas Diagnósticas RX - TAC",Ambulatorio!$Y$73:Y$483,"4")</f>
        <v>0</v>
      </c>
      <c r="N32" s="27">
        <f>COUNTIFS(Ambulatorio!$M$73:$M$483,"Ayudas Diagnósticas RX - TAC",Ambulatorio!$Z$73:Z$483,"4")</f>
        <v>0</v>
      </c>
      <c r="O32" s="27">
        <f>COUNTIFS(Ambulatorio!$M$73:$M$483,"Ayudas Diagnósticas RX - TAC",Ambulatorio!$AA$73:AA$483,"4")</f>
        <v>0</v>
      </c>
      <c r="P32" s="27">
        <f>COUNTIFS(Ambulatorio!$M$73:$M$483,"Ayudas Diagnósticas RX - TAC",Ambulatorio!$AB$73:AB$483,"4")</f>
        <v>0</v>
      </c>
    </row>
    <row r="33" spans="1:16">
      <c r="A33" s="77" t="s">
        <v>116</v>
      </c>
      <c r="B33" s="27">
        <f>COUNTIFS(Ambulatorio!$M$73:$M$483,"Ayudas Diagnósticas RX - TAC",Ambulatorio!N$73:$N$483,"3")</f>
        <v>0</v>
      </c>
      <c r="C33" s="27">
        <f>COUNTIFS(Ambulatorio!$M$73:$M$483,"Ayudas Diagnósticas RX - TAC",Ambulatorio!$O$73:O$483,"3")</f>
        <v>0</v>
      </c>
      <c r="D33" s="27">
        <f>COUNTIFS(Ambulatorio!$M$73:$M$483,"Ayudas Diagnósticas RX - TAC",Ambulatorio!$P$73:P$483,"3")</f>
        <v>0</v>
      </c>
      <c r="E33" s="27">
        <f>COUNTIFS(Ambulatorio!$M$73:$M$483,"Ayudas Diagnósticas RX - TAC",Ambulatorio!$Q$73:Q$483,"3")</f>
        <v>0</v>
      </c>
      <c r="F33" s="27">
        <f>COUNTIFS(Ambulatorio!$M$73:$M$483,"Ayudas Diagnósticas RX - TAC",Ambulatorio!$R$73:R$483,"3")</f>
        <v>0</v>
      </c>
      <c r="G33" s="27">
        <f>COUNTIFS(Ambulatorio!$M$73:$M$483,"Ayudas Diagnósticas RX - TAC",Ambulatorio!$S$73:S$483,"3")</f>
        <v>0</v>
      </c>
      <c r="H33" s="27">
        <f>COUNTIFS(Ambulatorio!$M$73:$M$483,"Ayudas Diagnósticas RX - TAC",Ambulatorio!$T$73:T$483,"3")</f>
        <v>0</v>
      </c>
      <c r="I33" s="27">
        <f>COUNTIFS(Ambulatorio!$M$73:$M$483,"Ayudas Diagnósticas RX - TAC",Ambulatorio!$U$73:U$483,"3")</f>
        <v>0</v>
      </c>
      <c r="J33" s="27">
        <f>COUNTIFS(Ambulatorio!$M$73:$M$483,"Ayudas Diagnósticas RX - TAC",Ambulatorio!$V$73:V$483,"3")</f>
        <v>0</v>
      </c>
      <c r="K33" s="27">
        <f>COUNTIFS(Ambulatorio!$M$73:$M$483,"Ayudas Diagnósticas RX - TAC",Ambulatorio!$W$73:W$483,"3")</f>
        <v>0</v>
      </c>
      <c r="L33" s="27">
        <f>COUNTIFS(Ambulatorio!$M$73:$M$483,"Ayudas Diagnósticas RX - TAC",Ambulatorio!$X$73:X$483,"3")</f>
        <v>0</v>
      </c>
      <c r="M33" s="27">
        <f>COUNTIFS(Ambulatorio!$M$73:$M$483,"Ayudas Diagnósticas RX - TAC",Ambulatorio!$Y$73:Y$483,"3")</f>
        <v>0</v>
      </c>
      <c r="N33" s="27">
        <f>COUNTIFS(Ambulatorio!$M$73:$M$483,"Ayudas Diagnósticas RX - TAC",Ambulatorio!$Z$73:Z$483,"3")</f>
        <v>0</v>
      </c>
      <c r="O33" s="27">
        <f>COUNTIFS(Ambulatorio!$M$73:$M$483,"Ayudas Diagnósticas RX - TAC",Ambulatorio!$AA$73:AA$483,"3")</f>
        <v>0</v>
      </c>
      <c r="P33" s="27">
        <f>COUNTIFS(Ambulatorio!$M$73:$M$483,"Ayudas Diagnósticas RX - TAC",Ambulatorio!$AB$73:AB$483,"3")</f>
        <v>0</v>
      </c>
    </row>
    <row r="34" spans="1:16">
      <c r="A34" s="77" t="s">
        <v>117</v>
      </c>
      <c r="B34" s="27">
        <f>COUNTIFS(Ambulatorio!$M$73:$M$483,"Ayudas Diagnósticas RX - TAC",Ambulatorio!N$73:$N$483,"2")</f>
        <v>0</v>
      </c>
      <c r="C34" s="27">
        <f>COUNTIFS(Ambulatorio!$M$73:$M$483,"Ayudas Diagnósticas RX - TAC",Ambulatorio!$O$73:O$483,"2")</f>
        <v>0</v>
      </c>
      <c r="D34" s="27">
        <f>COUNTIFS(Ambulatorio!$M$73:$M$483,"Ayudas Diagnósticas RX - TAC",Ambulatorio!$P$73:P$483,"2")</f>
        <v>0</v>
      </c>
      <c r="E34" s="27">
        <f>COUNTIFS(Ambulatorio!$M$73:$M$483,"Ayudas Diagnósticas RX - TAC",Ambulatorio!$Q$73:Q$483,"2")</f>
        <v>0</v>
      </c>
      <c r="F34" s="27">
        <f>COUNTIFS(Ambulatorio!$M$73:$M$483,"Ayudas Diagnósticas RX - TAC",Ambulatorio!$R$73:R$483,"2")</f>
        <v>0</v>
      </c>
      <c r="G34" s="27">
        <f>COUNTIFS(Ambulatorio!$M$73:$M$483,"Ayudas Diagnósticas RX - TAC",Ambulatorio!$S$73:S$483,"2")</f>
        <v>0</v>
      </c>
      <c r="H34" s="27">
        <f>COUNTIFS(Ambulatorio!$M$73:$M$483,"Ayudas Diagnósticas RX - TAC",Ambulatorio!$T$73:T$483,"2")</f>
        <v>0</v>
      </c>
      <c r="I34" s="27">
        <f>COUNTIFS(Ambulatorio!$M$73:$M$483,"Ayudas Diagnósticas RX - TAC",Ambulatorio!$U$73:U$483,"2")</f>
        <v>0</v>
      </c>
      <c r="J34" s="27">
        <f>COUNTIFS(Ambulatorio!$M$73:$M$483,"Ayudas Diagnósticas RX - TAC",Ambulatorio!$V$73:V$483,"2")</f>
        <v>0</v>
      </c>
      <c r="K34" s="27">
        <f>COUNTIFS(Ambulatorio!$M$73:$M$483,"Ayudas Diagnósticas RX - TAC",Ambulatorio!$W$73:W$483,"2")</f>
        <v>0</v>
      </c>
      <c r="L34" s="27">
        <f>COUNTIFS(Ambulatorio!$M$73:$M$483,"Ayudas Diagnósticas RX - TAC",Ambulatorio!$X$73:X$483,"2")</f>
        <v>0</v>
      </c>
      <c r="M34" s="27">
        <f>COUNTIFS(Ambulatorio!$M$73:$M$483,"Ayudas Diagnósticas RX - TAC",Ambulatorio!$Y$73:Y$483,"2")</f>
        <v>0</v>
      </c>
      <c r="N34" s="27">
        <f>COUNTIFS(Ambulatorio!$M$73:$M$483,"Ayudas Diagnósticas RX - TAC",Ambulatorio!$Z$73:Z$483,"2")</f>
        <v>0</v>
      </c>
      <c r="O34" s="27">
        <f>COUNTIFS(Ambulatorio!$M$73:$M$483,"Ayudas Diagnósticas RX - TAC",Ambulatorio!$AA$73:AA$483,"2")</f>
        <v>0</v>
      </c>
      <c r="P34" s="27">
        <f>COUNTIFS(Ambulatorio!$M$73:$M$483,"Ayudas Diagnósticas RX - TAC",Ambulatorio!$AB$73:AB$483,"2")</f>
        <v>0</v>
      </c>
    </row>
    <row r="35" spans="1:16">
      <c r="A35" s="77" t="s">
        <v>118</v>
      </c>
      <c r="B35" s="27">
        <f>COUNTIFS(Ambulatorio!$M$73:$M$483,"Ayudas Diagnósticas RX - TAC",Ambulatorio!N$73:$N$483,"1")</f>
        <v>0</v>
      </c>
      <c r="C35" s="27">
        <f>COUNTIFS(Ambulatorio!$M$73:$M$483,"Ayudas Diagnósticas RX - TAC",Ambulatorio!$O$73:O$483,"1")</f>
        <v>0</v>
      </c>
      <c r="D35" s="27">
        <f>COUNTIFS(Ambulatorio!$M$73:$M$483,"Ayudas Diagnósticas RX - TAC",Ambulatorio!$P$73:P$483,"1")</f>
        <v>0</v>
      </c>
      <c r="E35" s="27">
        <f>COUNTIFS(Ambulatorio!$M$73:$M$483,"Ayudas Diagnósticas RX - TAC",Ambulatorio!$Q$73:Q$483,"1")</f>
        <v>0</v>
      </c>
      <c r="F35" s="27">
        <f>COUNTIFS(Ambulatorio!$M$73:$M$483,"Ayudas Diagnósticas RX - TAC",Ambulatorio!$R$73:R$483,"1")</f>
        <v>0</v>
      </c>
      <c r="G35" s="27">
        <f>COUNTIFS(Ambulatorio!$M$73:$M$483,"Ayudas Diagnósticas RX - TAC",Ambulatorio!$S$73:S$483,"1")</f>
        <v>0</v>
      </c>
      <c r="H35" s="27">
        <f>COUNTIFS(Ambulatorio!$M$73:$M$483,"Ayudas Diagnósticas RX - TAC",Ambulatorio!$T$73:T$483,"1")</f>
        <v>0</v>
      </c>
      <c r="I35" s="27">
        <f>COUNTIFS(Ambulatorio!$M$73:$M$483,"Ayudas Diagnósticas RX - TAC",Ambulatorio!$U$73:U$483,"1")</f>
        <v>0</v>
      </c>
      <c r="J35" s="27">
        <f>COUNTIFS(Ambulatorio!$M$73:$M$483,"Ayudas Diagnósticas RX - TAC",Ambulatorio!$V$73:V$483,"1")</f>
        <v>0</v>
      </c>
      <c r="K35" s="27">
        <f>COUNTIFS(Ambulatorio!$M$73:$M$483,"Ayudas Diagnósticas RX - TAC",Ambulatorio!$W$73:W$483,"1")</f>
        <v>0</v>
      </c>
      <c r="L35" s="27">
        <f>COUNTIFS(Ambulatorio!$M$73:$M$483,"Ayudas Diagnósticas RX - TAC",Ambulatorio!$X$73:X$483,"1")</f>
        <v>0</v>
      </c>
      <c r="M35" s="27">
        <f>COUNTIFS(Ambulatorio!$M$73:$M$483,"Ayudas Diagnósticas RX - TAC",Ambulatorio!$Y$73:Y$483,"1")</f>
        <v>0</v>
      </c>
      <c r="N35" s="27">
        <f>COUNTIFS(Ambulatorio!$M$73:$M$483,"Ayudas Diagnósticas RX - TAC",Ambulatorio!$Z$73:Z$483,"1")</f>
        <v>0</v>
      </c>
      <c r="O35" s="27">
        <f>COUNTIFS(Ambulatorio!$M$73:$M$483,"Ayudas Diagnósticas RX - TAC",Ambulatorio!$AA$73:AA$483,"1")</f>
        <v>0</v>
      </c>
      <c r="P35" s="27">
        <f>COUNTIFS(Ambulatorio!$M$73:$M$483,"Ayudas Diagnósticas RX - TAC",Ambulatorio!$AB$73:AB$483,"1")</f>
        <v>0</v>
      </c>
    </row>
    <row r="36" spans="1:16">
      <c r="B36" s="25">
        <f>SUM(B28:B35)</f>
        <v>21</v>
      </c>
      <c r="C36" s="25">
        <f t="shared" ref="C36:O36" si="2">SUM(C29:C35)</f>
        <v>21</v>
      </c>
      <c r="D36" s="25">
        <f t="shared" si="2"/>
        <v>21</v>
      </c>
      <c r="E36" s="25">
        <f t="shared" si="2"/>
        <v>21</v>
      </c>
      <c r="F36" s="25">
        <f t="shared" si="2"/>
        <v>21</v>
      </c>
      <c r="G36" s="25">
        <f t="shared" si="2"/>
        <v>21</v>
      </c>
      <c r="H36" s="25">
        <f t="shared" si="2"/>
        <v>21</v>
      </c>
      <c r="I36" s="25">
        <f t="shared" si="2"/>
        <v>21</v>
      </c>
      <c r="J36" s="25">
        <f t="shared" si="2"/>
        <v>21</v>
      </c>
      <c r="K36" s="25">
        <f t="shared" si="2"/>
        <v>21</v>
      </c>
      <c r="L36" s="25">
        <f t="shared" si="2"/>
        <v>21</v>
      </c>
      <c r="M36" s="25">
        <f t="shared" si="2"/>
        <v>21</v>
      </c>
      <c r="N36" s="25">
        <f t="shared" si="2"/>
        <v>21</v>
      </c>
      <c r="O36" s="25">
        <f t="shared" si="2"/>
        <v>21</v>
      </c>
      <c r="P36" s="25">
        <f>SUM(P28:P35)</f>
        <v>21</v>
      </c>
    </row>
    <row r="38" spans="1:16" ht="35.4" customHeight="1">
      <c r="B38" s="188" t="s">
        <v>129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</row>
    <row r="39" spans="1:16" ht="52.8">
      <c r="B39" s="90" t="s">
        <v>99</v>
      </c>
      <c r="C39" s="90" t="s">
        <v>100</v>
      </c>
      <c r="D39" s="90" t="s">
        <v>101</v>
      </c>
      <c r="E39" s="90" t="s">
        <v>102</v>
      </c>
      <c r="F39" s="90" t="s">
        <v>103</v>
      </c>
      <c r="G39" s="90" t="s">
        <v>104</v>
      </c>
      <c r="H39" s="90" t="s">
        <v>105</v>
      </c>
      <c r="I39" s="90" t="s">
        <v>106</v>
      </c>
      <c r="J39" s="90" t="s">
        <v>107</v>
      </c>
      <c r="K39" s="90" t="s">
        <v>108</v>
      </c>
      <c r="L39" s="90" t="s">
        <v>109</v>
      </c>
      <c r="M39" s="90" t="s">
        <v>110</v>
      </c>
      <c r="N39" s="90" t="s">
        <v>132</v>
      </c>
      <c r="O39" s="90" t="s">
        <v>133</v>
      </c>
      <c r="P39" s="90" t="s">
        <v>134</v>
      </c>
    </row>
    <row r="40" spans="1:16">
      <c r="A40" s="5" t="s">
        <v>111</v>
      </c>
      <c r="B40" s="27">
        <f>COUNTIFS(Ambulatorio!$M$73:$M$483,"Terapias",Ambulatorio!N$73:$N$483,"8")</f>
        <v>0</v>
      </c>
      <c r="C40" s="27">
        <f>COUNTIFS(Ambulatorio!$M$73:$M$483,"Terapias",Ambulatorio!$O$73:O$483,"8")</f>
        <v>0</v>
      </c>
      <c r="D40" s="27">
        <f>COUNTIFS(Ambulatorio!$M$73:$M$483,"Terapias",Ambulatorio!$P$73:P$483,"8")</f>
        <v>0</v>
      </c>
      <c r="E40" s="27">
        <f>COUNTIFS(Ambulatorio!$M$73:$M$483,"Terapias",Ambulatorio!$Q$73:Q$483,"8")</f>
        <v>0</v>
      </c>
      <c r="F40" s="27">
        <f>COUNTIFS(Ambulatorio!$M$73:$M$483,"Terapias",Ambulatorio!$R$73:R$483,"8")</f>
        <v>0</v>
      </c>
      <c r="G40" s="27">
        <f>COUNTIFS(Ambulatorio!$M$73:$M$483,"Terapias",Ambulatorio!$S$73:S$483,"8")</f>
        <v>0</v>
      </c>
      <c r="H40" s="27">
        <f>COUNTIFS(Ambulatorio!$M$73:$M$483,"Terapias",Ambulatorio!$T$73:T$483,"8")</f>
        <v>0</v>
      </c>
      <c r="I40" s="27">
        <f>COUNTIFS(Ambulatorio!$M$73:$M$483,"Terapias",Ambulatorio!$U$73:U$483,"8")</f>
        <v>0</v>
      </c>
      <c r="J40" s="27">
        <f>COUNTIFS(Ambulatorio!$M$73:$M$483,"Terapias",Ambulatorio!$V$73:V$483,"8")</f>
        <v>0</v>
      </c>
      <c r="K40" s="27">
        <f>COUNTIFS(Ambulatorio!$M$73:$M$483,"Terapias",Ambulatorio!$W$73:W$483,"8")</f>
        <v>0</v>
      </c>
      <c r="L40" s="27">
        <f>COUNTIFS(Ambulatorio!$M$73:$M$483,"Terapias",Ambulatorio!$X$73:X$483,"8")</f>
        <v>0</v>
      </c>
      <c r="M40" s="27">
        <f>COUNTIFS(Ambulatorio!$M$73:$M$483,"Terapias",Ambulatorio!$Y$73:Y$483,"8")</f>
        <v>0</v>
      </c>
      <c r="N40" s="27">
        <f>COUNTIFS(Ambulatorio!$M$73:$M$483,"Terapias",Ambulatorio!$Z$73:Z$483,"8")</f>
        <v>0</v>
      </c>
      <c r="O40" s="27">
        <f>COUNTIFS(Ambulatorio!$M$73:$M$483,"Terapias",Ambulatorio!$AA$73:AA$483,"8")</f>
        <v>0</v>
      </c>
      <c r="P40" s="27">
        <f>COUNTIFS(Ambulatorio!$M$73:$M$483,"Terapias",Ambulatorio!$AB$73:AB$483,"8")</f>
        <v>0</v>
      </c>
    </row>
    <row r="41" spans="1:16">
      <c r="A41" s="5" t="s">
        <v>112</v>
      </c>
      <c r="B41" s="27">
        <f>COUNTIFS(Ambulatorio!$M$73:$M$483,"Terapias",Ambulatorio!N$73:$N$483,"7")</f>
        <v>0</v>
      </c>
      <c r="C41" s="27">
        <f>COUNTIFS(Ambulatorio!$M$73:$M$483,"Terapias",Ambulatorio!$O$73:O$483,"7")</f>
        <v>0</v>
      </c>
      <c r="D41" s="27">
        <f>COUNTIFS(Ambulatorio!$M$73:$M$483,"Terapias",Ambulatorio!$P$73:P$483,"7")</f>
        <v>0</v>
      </c>
      <c r="E41" s="27">
        <f>COUNTIFS(Ambulatorio!$M$73:$M$483,"Terapias",Ambulatorio!$Q$73:Q$483,"7")</f>
        <v>0</v>
      </c>
      <c r="F41" s="27">
        <f>COUNTIFS(Ambulatorio!$M$73:$M$483,"Terapias",Ambulatorio!$R$73:R$483,"7")</f>
        <v>0</v>
      </c>
      <c r="G41" s="27">
        <f>COUNTIFS(Ambulatorio!$M$73:$M$483,"Terapias",Ambulatorio!$S$73:S$483,"7")</f>
        <v>0</v>
      </c>
      <c r="H41" s="27">
        <f>COUNTIFS(Ambulatorio!$M$73:$M$483,"Terapias",Ambulatorio!$T$73:T$483,"7")</f>
        <v>0</v>
      </c>
      <c r="I41" s="27">
        <f>COUNTIFS(Ambulatorio!$M$73:$M$483,"Terapias",Ambulatorio!$U$73:U$483,"7")</f>
        <v>0</v>
      </c>
      <c r="J41" s="27">
        <f>COUNTIFS(Ambulatorio!$M$73:$M$483,"Terapias",Ambulatorio!$V$73:V$483,"7")</f>
        <v>0</v>
      </c>
      <c r="K41" s="27">
        <f>COUNTIFS(Ambulatorio!$M$73:$M$483,"Terapias",Ambulatorio!$W$73:W$483,"7")</f>
        <v>0</v>
      </c>
      <c r="L41" s="27">
        <f>COUNTIFS(Ambulatorio!$M$73:$M$483,"Terapias",Ambulatorio!$X$73:X$483,"7")</f>
        <v>0</v>
      </c>
      <c r="M41" s="27">
        <f>COUNTIFS(Ambulatorio!$M$73:$M$483,"Terapias",Ambulatorio!$Y$73:Y$483,"7")</f>
        <v>0</v>
      </c>
      <c r="N41" s="27">
        <f>COUNTIFS(Ambulatorio!$M$73:$M$483,"Terapias",Ambulatorio!$Z$73:Z$483,"7")</f>
        <v>0</v>
      </c>
      <c r="O41" s="27">
        <f>COUNTIFS(Ambulatorio!$M$73:$M$483,"Terapias",Ambulatorio!$AA$73:AA$483,"7")</f>
        <v>0</v>
      </c>
      <c r="P41" s="27">
        <f>COUNTIFS(Ambulatorio!$M$73:$M$483,"Terapias",Ambulatorio!$AB$73:AB$483,"7")</f>
        <v>0</v>
      </c>
    </row>
    <row r="42" spans="1:16">
      <c r="A42" s="77" t="s">
        <v>113</v>
      </c>
      <c r="B42" s="27">
        <f>COUNTIFS(Ambulatorio!$M$73:$M$483,"Terapias",Ambulatorio!N$73:$N$483,"6")</f>
        <v>0</v>
      </c>
      <c r="C42" s="27">
        <f>COUNTIFS(Ambulatorio!$M$73:$M$483,"Terapias",Ambulatorio!$O$73:O$483,"6")</f>
        <v>0</v>
      </c>
      <c r="D42" s="27">
        <f>COUNTIFS(Ambulatorio!$M$73:$M$483,"Terapias",Ambulatorio!$P$73:P$483,"6")</f>
        <v>0</v>
      </c>
      <c r="E42" s="27">
        <f>COUNTIFS(Ambulatorio!$M$73:$M$483,"Terapias",Ambulatorio!$Q$73:Q$483,"6")</f>
        <v>0</v>
      </c>
      <c r="F42" s="27">
        <f>COUNTIFS(Ambulatorio!$M$73:$M$483,"Terapias",Ambulatorio!$R$73:R$483,"6")</f>
        <v>0</v>
      </c>
      <c r="G42" s="27">
        <f>COUNTIFS(Ambulatorio!$M$73:$M$483,"Terapias",Ambulatorio!$S$73:S$483,"6")</f>
        <v>0</v>
      </c>
      <c r="H42" s="27">
        <f>COUNTIFS(Ambulatorio!$M$73:$M$483,"Terapias",Ambulatorio!$T$73:T$483,"6")</f>
        <v>0</v>
      </c>
      <c r="I42" s="27">
        <f>COUNTIFS(Ambulatorio!$M$73:$M$483,"Terapias",Ambulatorio!$U$73:U$483,"6")</f>
        <v>0</v>
      </c>
      <c r="J42" s="27">
        <f>COUNTIFS(Ambulatorio!$M$73:$M$483,"Terapias",Ambulatorio!$V$73:V$483,"6")</f>
        <v>0</v>
      </c>
      <c r="K42" s="27">
        <f>COUNTIFS(Ambulatorio!$M$73:$M$483,"Terapias",Ambulatorio!$W$73:W$483,"6")</f>
        <v>0</v>
      </c>
      <c r="L42" s="27">
        <f>COUNTIFS(Ambulatorio!$M$73:$M$483,"Terapias",Ambulatorio!$X$73:X$483,"6")</f>
        <v>0</v>
      </c>
      <c r="M42" s="27">
        <f>COUNTIFS(Ambulatorio!$M$73:$M$483,"Terapias",Ambulatorio!$Y$73:Y$483,"6")</f>
        <v>0</v>
      </c>
      <c r="N42" s="27">
        <f>COUNTIFS(Ambulatorio!$M$73:$M$483,"Terapias",Ambulatorio!$Z$73:Z$483,"6")</f>
        <v>0</v>
      </c>
      <c r="O42" s="27">
        <f>COUNTIFS(Ambulatorio!$M$73:$M$483,"Terapias",Ambulatorio!$AA$73:AA$483,"6")</f>
        <v>0</v>
      </c>
      <c r="P42" s="27">
        <f>COUNTIFS(Ambulatorio!$M$73:$M$483,"Terapias",Ambulatorio!$AB$73:AB$483,"6")</f>
        <v>0</v>
      </c>
    </row>
    <row r="43" spans="1:16">
      <c r="A43" s="77" t="s">
        <v>114</v>
      </c>
      <c r="B43" s="27">
        <f>COUNTIFS(Ambulatorio!$M$73:$M$483,"Terapias",Ambulatorio!N$73:$N$483,"5")</f>
        <v>0</v>
      </c>
      <c r="C43" s="27">
        <f>COUNTIFS(Ambulatorio!$M$73:$M$483,"Terapias",Ambulatorio!$O$73:O$483,"5")</f>
        <v>0</v>
      </c>
      <c r="D43" s="27">
        <f>COUNTIFS(Ambulatorio!$M$73:$M$483,"Terapias",Ambulatorio!$P$73:P$483,"5")</f>
        <v>0</v>
      </c>
      <c r="E43" s="27">
        <f>COUNTIFS(Ambulatorio!$M$73:$M$483,"Terapias",Ambulatorio!$Q$73:Q$483,"5")</f>
        <v>0</v>
      </c>
      <c r="F43" s="27">
        <f>COUNTIFS(Ambulatorio!$M$73:$M$483,"Terapias",Ambulatorio!$R$73:R$483,"5")</f>
        <v>0</v>
      </c>
      <c r="G43" s="27">
        <f>COUNTIFS(Ambulatorio!$M$73:$M$483,"Terapias",Ambulatorio!$S$73:S$483,"5")</f>
        <v>0</v>
      </c>
      <c r="H43" s="27">
        <f>COUNTIFS(Ambulatorio!$M$73:$M$483,"Terapias",Ambulatorio!$T$73:T$483,"5")</f>
        <v>0</v>
      </c>
      <c r="I43" s="27">
        <f>COUNTIFS(Ambulatorio!$M$73:$M$483,"Terapias",Ambulatorio!$U$73:U$483,"5")</f>
        <v>0</v>
      </c>
      <c r="J43" s="27">
        <f>COUNTIFS(Ambulatorio!$M$73:$M$483,"Terapias",Ambulatorio!$V$73:V$483,"5")</f>
        <v>0</v>
      </c>
      <c r="K43" s="27">
        <f>COUNTIFS(Ambulatorio!$M$73:$M$483,"Terapias",Ambulatorio!$W$73:W$483,"5")</f>
        <v>0</v>
      </c>
      <c r="L43" s="27">
        <f>COUNTIFS(Ambulatorio!$M$73:$M$483,"Terapias",Ambulatorio!$X$73:X$483,"5")</f>
        <v>0</v>
      </c>
      <c r="M43" s="27">
        <f>COUNTIFS(Ambulatorio!$M$73:$M$483,"Terapias",Ambulatorio!$Y$73:Y$483,"5")</f>
        <v>0</v>
      </c>
      <c r="N43" s="27">
        <f>COUNTIFS(Ambulatorio!$M$73:$M$483,"Terapias",Ambulatorio!$Z$73:Z$483,"5")</f>
        <v>0</v>
      </c>
      <c r="O43" s="27">
        <f>COUNTIFS(Ambulatorio!$M$73:$M$483,"Terapias",Ambulatorio!$AA$73:AA$483,"5")</f>
        <v>0</v>
      </c>
      <c r="P43" s="27">
        <f>COUNTIFS(Ambulatorio!$M$73:$M$483,"Terapias",Ambulatorio!$AB$73:AB$483,"5")</f>
        <v>0</v>
      </c>
    </row>
    <row r="44" spans="1:16">
      <c r="A44" s="77" t="s">
        <v>115</v>
      </c>
      <c r="B44" s="27">
        <f>COUNTIFS(Ambulatorio!$M$73:$M$483,"Terapias",Ambulatorio!N$73:$N$483,"4")</f>
        <v>0</v>
      </c>
      <c r="C44" s="27">
        <f>COUNTIFS(Ambulatorio!$M$73:$M$483,"Terapias",Ambulatorio!$O$73:O$483,"4")</f>
        <v>0</v>
      </c>
      <c r="D44" s="27">
        <f>COUNTIFS(Ambulatorio!$M$73:$M$483,"Terapias",Ambulatorio!$P$73:P$483,"4")</f>
        <v>0</v>
      </c>
      <c r="E44" s="27">
        <f>COUNTIFS(Ambulatorio!$M$73:$M$483,"Terapias",Ambulatorio!$Q$73:Q$483,"4")</f>
        <v>0</v>
      </c>
      <c r="F44" s="27">
        <f>COUNTIFS(Ambulatorio!$M$73:$M$483,"Terapias",Ambulatorio!$R$73:R$483,"4")</f>
        <v>0</v>
      </c>
      <c r="G44" s="27">
        <f>COUNTIFS(Ambulatorio!$M$73:$M$483,"Terapias",Ambulatorio!$S$73:S$483,"4")</f>
        <v>0</v>
      </c>
      <c r="H44" s="27">
        <f>COUNTIFS(Ambulatorio!$M$73:$M$483,"Terapias",Ambulatorio!$T$73:T$483,"4")</f>
        <v>0</v>
      </c>
      <c r="I44" s="27">
        <f>COUNTIFS(Ambulatorio!$M$73:$M$483,"Terapias",Ambulatorio!$U$73:U$483,"4")</f>
        <v>0</v>
      </c>
      <c r="J44" s="27">
        <f>COUNTIFS(Ambulatorio!$M$73:$M$483,"Terapias",Ambulatorio!$V$73:V$483,"4")</f>
        <v>0</v>
      </c>
      <c r="K44" s="27">
        <f>COUNTIFS(Ambulatorio!$M$73:$M$483,"Terapias",Ambulatorio!$W$73:W$483,"4")</f>
        <v>0</v>
      </c>
      <c r="L44" s="27">
        <f>COUNTIFS(Ambulatorio!$M$73:$M$483,"Terapias",Ambulatorio!$X$73:X$483,"4")</f>
        <v>0</v>
      </c>
      <c r="M44" s="27">
        <f>COUNTIFS(Ambulatorio!$M$73:$M$483,"Terapias",Ambulatorio!$Y$73:Y$483,"4")</f>
        <v>0</v>
      </c>
      <c r="N44" s="27">
        <f>COUNTIFS(Ambulatorio!$M$73:$M$483,"Terapias",Ambulatorio!$Z$73:Z$483,"4")</f>
        <v>0</v>
      </c>
      <c r="O44" s="27">
        <f>COUNTIFS(Ambulatorio!$M$73:$M$483,"Terapias",Ambulatorio!$AA$73:AA$483,"4")</f>
        <v>0</v>
      </c>
      <c r="P44" s="27">
        <f>COUNTIFS(Ambulatorio!$M$73:$M$483,"Terapias",Ambulatorio!$AB$73:AB$483,"4")</f>
        <v>0</v>
      </c>
    </row>
    <row r="45" spans="1:16">
      <c r="A45" s="77" t="s">
        <v>116</v>
      </c>
      <c r="B45" s="27">
        <f>COUNTIFS(Ambulatorio!$M$73:$M$483,"Terapias",Ambulatorio!N$73:$N$483,"3")</f>
        <v>0</v>
      </c>
      <c r="C45" s="27">
        <f>COUNTIFS(Ambulatorio!$M$73:$M$483,"Terapias",Ambulatorio!$O$73:O$483,"3")</f>
        <v>0</v>
      </c>
      <c r="D45" s="27">
        <f>COUNTIFS(Ambulatorio!$M$73:$M$483,"Terapias",Ambulatorio!$P$73:P$483,"3")</f>
        <v>0</v>
      </c>
      <c r="E45" s="27">
        <f>COUNTIFS(Ambulatorio!$M$73:$M$483,"Terapias",Ambulatorio!$Q$73:Q$483,"3")</f>
        <v>0</v>
      </c>
      <c r="F45" s="27">
        <f>COUNTIFS(Ambulatorio!$M$73:$M$483,"Terapias",Ambulatorio!$R$73:R$483,"3")</f>
        <v>0</v>
      </c>
      <c r="G45" s="27">
        <f>COUNTIFS(Ambulatorio!$M$73:$M$483,"Terapias",Ambulatorio!$S$73:S$483,"3")</f>
        <v>0</v>
      </c>
      <c r="H45" s="27">
        <f>COUNTIFS(Ambulatorio!$M$73:$M$483,"Terapias",Ambulatorio!$T$73:T$483,"3")</f>
        <v>0</v>
      </c>
      <c r="I45" s="27">
        <f>COUNTIFS(Ambulatorio!$M$73:$M$483,"Terapias",Ambulatorio!$U$73:U$483,"3")</f>
        <v>0</v>
      </c>
      <c r="J45" s="27">
        <f>COUNTIFS(Ambulatorio!$M$73:$M$483,"Terapias",Ambulatorio!$V$73:V$483,"3")</f>
        <v>0</v>
      </c>
      <c r="K45" s="27">
        <f>COUNTIFS(Ambulatorio!$M$73:$M$483,"Terapias",Ambulatorio!$W$73:W$483,"3")</f>
        <v>0</v>
      </c>
      <c r="L45" s="27">
        <f>COUNTIFS(Ambulatorio!$M$73:$M$483,"Terapias",Ambulatorio!$X$73:X$483,"3")</f>
        <v>0</v>
      </c>
      <c r="M45" s="27">
        <f>COUNTIFS(Ambulatorio!$M$73:$M$483,"Terapias",Ambulatorio!$Y$73:Y$483,"3")</f>
        <v>0</v>
      </c>
      <c r="N45" s="27">
        <f>COUNTIFS(Ambulatorio!$M$73:$M$483,"Terapias",Ambulatorio!$Z$73:Z$483,"3")</f>
        <v>0</v>
      </c>
      <c r="O45" s="27">
        <f>COUNTIFS(Ambulatorio!$M$73:$M$483,"Terapias",Ambulatorio!$AA$73:AA$483,"3")</f>
        <v>0</v>
      </c>
      <c r="P45" s="27">
        <f>COUNTIFS(Ambulatorio!$M$73:$M$483,"Terapias",Ambulatorio!$AB$73:AB$483,"3")</f>
        <v>0</v>
      </c>
    </row>
    <row r="46" spans="1:16">
      <c r="A46" s="77" t="s">
        <v>117</v>
      </c>
      <c r="B46" s="27">
        <f>COUNTIFS(Ambulatorio!$M$73:$M$483,"Terapias",Ambulatorio!N$73:$N$483,"2")</f>
        <v>0</v>
      </c>
      <c r="C46" s="27">
        <f>COUNTIFS(Ambulatorio!$M$73:$M$483,"Terapias",Ambulatorio!$O$73:O$483,"2")</f>
        <v>0</v>
      </c>
      <c r="D46" s="27">
        <f>COUNTIFS(Ambulatorio!$M$73:$M$483,"Terapias",Ambulatorio!$P$73:P$483,"2")</f>
        <v>0</v>
      </c>
      <c r="E46" s="27">
        <f>COUNTIFS(Ambulatorio!$M$73:$M$483,"Terapias",Ambulatorio!$Q$73:Q$483,"2")</f>
        <v>0</v>
      </c>
      <c r="F46" s="27">
        <f>COUNTIFS(Ambulatorio!$M$73:$M$483,"Terapias",Ambulatorio!$R$73:R$483,"2")</f>
        <v>0</v>
      </c>
      <c r="G46" s="27">
        <f>COUNTIFS(Ambulatorio!$M$73:$M$483,"Terapias",Ambulatorio!$S$73:S$483,"2")</f>
        <v>0</v>
      </c>
      <c r="H46" s="27">
        <f>COUNTIFS(Ambulatorio!$M$73:$M$483,"Terapias",Ambulatorio!$T$73:T$483,"2")</f>
        <v>0</v>
      </c>
      <c r="I46" s="27">
        <f>COUNTIFS(Ambulatorio!$M$73:$M$483,"Terapias",Ambulatorio!$U$73:U$483,"2")</f>
        <v>0</v>
      </c>
      <c r="J46" s="27">
        <f>COUNTIFS(Ambulatorio!$M$73:$M$483,"Terapias",Ambulatorio!$V$73:V$483,"2")</f>
        <v>0</v>
      </c>
      <c r="K46" s="27">
        <f>COUNTIFS(Ambulatorio!$M$73:$M$483,"Terapias",Ambulatorio!$W$73:W$483,"2")</f>
        <v>0</v>
      </c>
      <c r="L46" s="27">
        <f>COUNTIFS(Ambulatorio!$M$73:$M$483,"Terapias",Ambulatorio!$X$73:X$483,"2")</f>
        <v>0</v>
      </c>
      <c r="M46" s="27">
        <f>COUNTIFS(Ambulatorio!$M$73:$M$483,"Terapias",Ambulatorio!$Y$73:Y$483,"2")</f>
        <v>0</v>
      </c>
      <c r="N46" s="27">
        <f>COUNTIFS(Ambulatorio!$M$73:$M$483,"Terapias",Ambulatorio!$Z$73:Z$483,"2")</f>
        <v>0</v>
      </c>
      <c r="O46" s="27">
        <f>COUNTIFS(Ambulatorio!$M$73:$M$483,"Terapias",Ambulatorio!$AA$73:AA$483,"2")</f>
        <v>0</v>
      </c>
      <c r="P46" s="27">
        <f>COUNTIFS(Ambulatorio!$M$73:$M$483,"Terapias",Ambulatorio!$AB$73:AB$483,"2")</f>
        <v>0</v>
      </c>
    </row>
    <row r="47" spans="1:16">
      <c r="A47" s="77" t="s">
        <v>118</v>
      </c>
      <c r="B47" s="27">
        <f>COUNTIFS(Ambulatorio!$M$73:$M$483,"Terapias",Ambulatorio!N$73:$N$483,"1")</f>
        <v>0</v>
      </c>
      <c r="C47" s="27">
        <f>COUNTIFS(Ambulatorio!$M$73:$M$483,"Terapias",Ambulatorio!$O$73:O$483,"1")</f>
        <v>0</v>
      </c>
      <c r="D47" s="27">
        <f>COUNTIFS(Ambulatorio!$M$73:$M$483,"Terapias",Ambulatorio!$P$73:P$483,"1")</f>
        <v>0</v>
      </c>
      <c r="E47" s="27">
        <f>COUNTIFS(Ambulatorio!$M$73:$M$483,"Terapias",Ambulatorio!$Q$73:Q$483,"1")</f>
        <v>0</v>
      </c>
      <c r="F47" s="27">
        <f>COUNTIFS(Ambulatorio!$M$73:$M$483,"Terapias",Ambulatorio!$R$73:R$483,"1")</f>
        <v>0</v>
      </c>
      <c r="G47" s="27">
        <f>COUNTIFS(Ambulatorio!$M$73:$M$483,"Terapias",Ambulatorio!$S$73:S$483,"1")</f>
        <v>0</v>
      </c>
      <c r="H47" s="27">
        <f>COUNTIFS(Ambulatorio!$M$73:$M$483,"Terapias",Ambulatorio!$T$73:T$483,"1")</f>
        <v>0</v>
      </c>
      <c r="I47" s="27">
        <f>COUNTIFS(Ambulatorio!$M$73:$M$483,"Terapias",Ambulatorio!$U$73:U$483,"1")</f>
        <v>0</v>
      </c>
      <c r="J47" s="27">
        <f>COUNTIFS(Ambulatorio!$M$73:$M$483,"Terapias",Ambulatorio!$V$73:V$483,"1")</f>
        <v>0</v>
      </c>
      <c r="K47" s="27">
        <f>COUNTIFS(Ambulatorio!$M$73:$M$483,"Terapias",Ambulatorio!$W$73:W$483,"1")</f>
        <v>0</v>
      </c>
      <c r="L47" s="27">
        <f>COUNTIFS(Ambulatorio!$M$73:$M$483,"Terapias",Ambulatorio!$X$73:X$483,"1")</f>
        <v>0</v>
      </c>
      <c r="M47" s="27">
        <f>COUNTIFS(Ambulatorio!$M$73:$M$483,"Terapias",Ambulatorio!$Y$73:Y$483,"1")</f>
        <v>0</v>
      </c>
      <c r="N47" s="27">
        <f>COUNTIFS(Ambulatorio!$M$73:$M$483,"Terapias",Ambulatorio!$Z$73:Z$483,"1")</f>
        <v>0</v>
      </c>
      <c r="O47" s="27">
        <f>COUNTIFS(Ambulatorio!$M$73:$M$483,"Terapias",Ambulatorio!$AA$73:AA$483,"1")</f>
        <v>0</v>
      </c>
      <c r="P47" s="27">
        <f>COUNTIFS(Ambulatorio!$M$73:$M$483,"Terapias",Ambulatorio!$AB$73:AB$483,"1")</f>
        <v>0</v>
      </c>
    </row>
    <row r="48" spans="1:16">
      <c r="B48" s="25">
        <f>SUM(B40:B47)</f>
        <v>0</v>
      </c>
      <c r="C48" s="25">
        <f t="shared" ref="C48:O48" si="3">SUM(C41:C47)</f>
        <v>0</v>
      </c>
      <c r="D48" s="25">
        <f t="shared" si="3"/>
        <v>0</v>
      </c>
      <c r="E48" s="25">
        <f t="shared" si="3"/>
        <v>0</v>
      </c>
      <c r="F48" s="25">
        <f t="shared" si="3"/>
        <v>0</v>
      </c>
      <c r="G48" s="25">
        <f t="shared" si="3"/>
        <v>0</v>
      </c>
      <c r="H48" s="25">
        <f t="shared" si="3"/>
        <v>0</v>
      </c>
      <c r="I48" s="25">
        <f t="shared" si="3"/>
        <v>0</v>
      </c>
      <c r="J48" s="25">
        <f t="shared" si="3"/>
        <v>0</v>
      </c>
      <c r="K48" s="25">
        <f t="shared" si="3"/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25">
        <f t="shared" si="3"/>
        <v>0</v>
      </c>
      <c r="P48" s="25">
        <f>SUM(P40:P47)</f>
        <v>0</v>
      </c>
    </row>
    <row r="50" spans="1:16" ht="35.4" customHeight="1">
      <c r="B50" s="189" t="s">
        <v>136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</row>
    <row r="51" spans="1:16" ht="52.8">
      <c r="B51" s="90" t="s">
        <v>99</v>
      </c>
      <c r="C51" s="90" t="s">
        <v>100</v>
      </c>
      <c r="D51" s="90" t="s">
        <v>101</v>
      </c>
      <c r="E51" s="90" t="s">
        <v>102</v>
      </c>
      <c r="F51" s="90" t="s">
        <v>103</v>
      </c>
      <c r="G51" s="90" t="s">
        <v>104</v>
      </c>
      <c r="H51" s="90" t="s">
        <v>105</v>
      </c>
      <c r="I51" s="90" t="s">
        <v>106</v>
      </c>
      <c r="J51" s="90" t="s">
        <v>107</v>
      </c>
      <c r="K51" s="90" t="s">
        <v>108</v>
      </c>
      <c r="L51" s="90" t="s">
        <v>109</v>
      </c>
      <c r="M51" s="90" t="s">
        <v>110</v>
      </c>
      <c r="N51" s="90" t="s">
        <v>132</v>
      </c>
      <c r="O51" s="90" t="s">
        <v>133</v>
      </c>
      <c r="P51" s="90" t="s">
        <v>134</v>
      </c>
    </row>
    <row r="52" spans="1:16">
      <c r="A52" s="5" t="s">
        <v>111</v>
      </c>
      <c r="B52" s="27">
        <f>COUNTIFS(Ambulatorio!$M$73:$M$483,"Ayudas Diagnósticas Servicios Complementarios",Ambulatorio!N$73:$N$483,"8")</f>
        <v>0</v>
      </c>
      <c r="C52" s="27">
        <f>COUNTIFS(Ambulatorio!$M$73:$M$483,"Ayudas Diagnósticas Servicios Complementarios",Ambulatorio!$O$73:O$483,"8")</f>
        <v>0</v>
      </c>
      <c r="D52" s="27">
        <f>COUNTIFS(Ambulatorio!$M$73:$M$483,"Ayudas Diagnósticas Servicios Complementarios",Ambulatorio!$P$73:P$483,"8")</f>
        <v>0</v>
      </c>
      <c r="E52" s="27">
        <f>COUNTIFS(Ambulatorio!$M$73:$M$483,"Ayudas Diagnósticas Servicios Complementarios",Ambulatorio!$Q$73:Q$483,"8")</f>
        <v>0</v>
      </c>
      <c r="F52" s="27">
        <f>COUNTIFS(Ambulatorio!$M$73:$M$483,"Ayudas Diagnósticas Servicios Complementarios",Ambulatorio!$R$73:R$483,"8")</f>
        <v>0</v>
      </c>
      <c r="G52" s="27">
        <f>COUNTIFS(Ambulatorio!$M$73:$M$483,"Ayudas Diagnósticas Servicios Complementarios",Ambulatorio!$S$73:S$483,"8")</f>
        <v>0</v>
      </c>
      <c r="H52" s="27">
        <f>COUNTIFS(Ambulatorio!$M$73:$M$483,"Ayudas Diagnósticas Servicios Complementarios",Ambulatorio!$T$73:T$483,"8")</f>
        <v>0</v>
      </c>
      <c r="I52" s="27">
        <f>COUNTIFS(Ambulatorio!$M$73:$M$483,"Ayudas Diagnósticas Servicios Complementarios",Ambulatorio!$U$73:U$483,"8")</f>
        <v>0</v>
      </c>
      <c r="J52" s="27">
        <f>COUNTIFS(Ambulatorio!$M$73:$M$483,"Ayudas Diagnósticas Servicios Complementarios",Ambulatorio!$V$73:V$483,"8")</f>
        <v>0</v>
      </c>
      <c r="K52" s="27">
        <f>COUNTIFS(Ambulatorio!$M$73:$M$483,"Ayudas Diagnósticas Servicios Complementarios",Ambulatorio!$W$73:W$483,"8")</f>
        <v>0</v>
      </c>
      <c r="L52" s="27">
        <f>COUNTIFS(Ambulatorio!$M$73:$M$483,"Ayudas Diagnósticas Servicios Complementarios",Ambulatorio!$X$73:X$483,"8")</f>
        <v>0</v>
      </c>
      <c r="M52" s="27">
        <f>COUNTIFS(Ambulatorio!$M$73:$M$483,"Ayudas Diagnósticas Servicios Complementarios",Ambulatorio!$Y$73:Y$483,"8")</f>
        <v>0</v>
      </c>
      <c r="N52" s="27">
        <f>COUNTIFS(Ambulatorio!$M$73:$M$483,"Ayudas Diagnósticas Servicios Complementarios",Ambulatorio!$Z$73:Z$483,"8")</f>
        <v>0</v>
      </c>
      <c r="O52" s="27">
        <f>COUNTIFS(Ambulatorio!$M$73:$M$483,"Ayudas Diagnósticas Servicios Complementarios",Ambulatorio!$AA$73:AA$483,"8")</f>
        <v>0</v>
      </c>
      <c r="P52" s="27">
        <f>COUNTIFS(Ambulatorio!$M$73:$M$483,"Ayudas Diagnósticas Servicios Complementarios",Ambulatorio!$AB$73:AB$483,"8")</f>
        <v>0</v>
      </c>
    </row>
    <row r="53" spans="1:16">
      <c r="A53" s="5" t="s">
        <v>112</v>
      </c>
      <c r="B53" s="27">
        <f>COUNTIFS(Ambulatorio!$M$73:$M$483,"Ayudas Diagnósticas Servicios Complementarios",Ambulatorio!N$73:$N$483,"7")</f>
        <v>0</v>
      </c>
      <c r="C53" s="27">
        <f>COUNTIFS(Ambulatorio!$M$73:$M$483,"Ayudas Diagnósticas Servicios Complementarios",Ambulatorio!$O$73:O$483,"7")</f>
        <v>0</v>
      </c>
      <c r="D53" s="27">
        <f>COUNTIFS(Ambulatorio!$M$73:$M$483,"Ayudas Diagnósticas Servicios Complementarios",Ambulatorio!$P$73:P$483,"7")</f>
        <v>0</v>
      </c>
      <c r="E53" s="27">
        <f>COUNTIFS(Ambulatorio!$M$73:$M$483,"Ayudas Diagnósticas Servicios Complementarios",Ambulatorio!$Q$73:Q$483,"7")</f>
        <v>0</v>
      </c>
      <c r="F53" s="27">
        <f>COUNTIFS(Ambulatorio!$M$73:$M$483,"Ayudas Diagnósticas Servicios Complementarios",Ambulatorio!$R$73:R$483,"7")</f>
        <v>0</v>
      </c>
      <c r="G53" s="27">
        <f>COUNTIFS(Ambulatorio!$M$73:$M$483,"Ayudas Diagnósticas Servicios Complementarios",Ambulatorio!$S$73:S$483,"7")</f>
        <v>0</v>
      </c>
      <c r="H53" s="27">
        <f>COUNTIFS(Ambulatorio!$M$73:$M$483,"Ayudas Diagnósticas Servicios Complementarios",Ambulatorio!$T$73:T$483,"7")</f>
        <v>0</v>
      </c>
      <c r="I53" s="27">
        <f>COUNTIFS(Ambulatorio!$M$73:$M$483,"Ayudas Diagnósticas Servicios Complementarios",Ambulatorio!$U$73:U$483,"7")</f>
        <v>0</v>
      </c>
      <c r="J53" s="27">
        <f>COUNTIFS(Ambulatorio!$M$73:$M$483,"Ayudas Diagnósticas Servicios Complementarios",Ambulatorio!$V$73:V$483,"7")</f>
        <v>0</v>
      </c>
      <c r="K53" s="27">
        <f>COUNTIFS(Ambulatorio!$M$73:$M$483,"Ayudas Diagnósticas Servicios Complementarios",Ambulatorio!$W$73:W$483,"7")</f>
        <v>0</v>
      </c>
      <c r="L53" s="27">
        <f>COUNTIFS(Ambulatorio!$M$73:$M$483,"Ayudas Diagnósticas Servicios Complementarios",Ambulatorio!$X$73:X$483,"7")</f>
        <v>0</v>
      </c>
      <c r="M53" s="27">
        <f>COUNTIFS(Ambulatorio!$M$73:$M$483,"Ayudas Diagnósticas Servicios Complementarios",Ambulatorio!$Y$73:Y$483,"7")</f>
        <v>0</v>
      </c>
      <c r="N53" s="27">
        <f>COUNTIFS(Ambulatorio!$M$73:$M$483,"Ayudas Diagnósticas Servicios Complementarios",Ambulatorio!$Z$73:Z$483,"7")</f>
        <v>0</v>
      </c>
      <c r="O53" s="27">
        <f>COUNTIFS(Ambulatorio!$M$73:$M$483,"Ayudas Diagnósticas Servicios Complementarios",Ambulatorio!$AA$73:AA$483,"7")</f>
        <v>0</v>
      </c>
      <c r="P53" s="27">
        <f>COUNTIFS(Ambulatorio!$M$73:$M$483,"Ayudas Diagnósticas Servicios Complementarios",Ambulatorio!$AB$73:AB$483,"7")</f>
        <v>0</v>
      </c>
    </row>
    <row r="54" spans="1:16">
      <c r="A54" s="77" t="s">
        <v>113</v>
      </c>
      <c r="B54" s="27">
        <f>COUNTIFS(Ambulatorio!$M$73:$M$483,"Ayudas Diagnósticas Servicios Complementarios",Ambulatorio!N$73:$N$483,"6")</f>
        <v>0</v>
      </c>
      <c r="C54" s="27">
        <f>COUNTIFS(Ambulatorio!$M$73:$M$483,"Ayudas Diagnósticas Servicios Complementarios",Ambulatorio!$O$73:O$483,"6")</f>
        <v>0</v>
      </c>
      <c r="D54" s="27">
        <f>COUNTIFS(Ambulatorio!$M$73:$M$483,"Ayudas Diagnósticas Servicios Complementarios",Ambulatorio!$P$73:P$483,"6")</f>
        <v>0</v>
      </c>
      <c r="E54" s="27">
        <f>COUNTIFS(Ambulatorio!$M$73:$M$483,"Ayudas Diagnósticas Servicios Complementarios",Ambulatorio!$Q$73:Q$483,"6")</f>
        <v>2</v>
      </c>
      <c r="F54" s="27">
        <f>COUNTIFS(Ambulatorio!$M$73:$M$483,"Ayudas Diagnósticas Servicios Complementarios",Ambulatorio!$R$73:R$483,"6")</f>
        <v>6</v>
      </c>
      <c r="G54" s="27">
        <f>COUNTIFS(Ambulatorio!$M$73:$M$483,"Ayudas Diagnósticas Servicios Complementarios",Ambulatorio!$S$73:S$483,"6")</f>
        <v>7</v>
      </c>
      <c r="H54" s="27">
        <f>COUNTIFS(Ambulatorio!$M$73:$M$483,"Ayudas Diagnósticas Servicios Complementarios",Ambulatorio!$T$73:T$483,"6")</f>
        <v>0</v>
      </c>
      <c r="I54" s="27">
        <f>COUNTIFS(Ambulatorio!$M$73:$M$483,"Ayudas Diagnósticas Servicios Complementarios",Ambulatorio!$U$73:U$483,"6")</f>
        <v>0</v>
      </c>
      <c r="J54" s="27">
        <f>COUNTIFS(Ambulatorio!$M$73:$M$483,"Ayudas Diagnósticas Servicios Complementarios",Ambulatorio!$V$73:V$483,"6")</f>
        <v>7</v>
      </c>
      <c r="K54" s="27">
        <f>COUNTIFS(Ambulatorio!$M$73:$M$483,"Ayudas Diagnósticas Servicios Complementarios",Ambulatorio!$W$73:W$483,"6")</f>
        <v>7</v>
      </c>
      <c r="L54" s="27">
        <f>COUNTIFS(Ambulatorio!$M$73:$M$483,"Ayudas Diagnósticas Servicios Complementarios",Ambulatorio!$X$73:X$483,"6")</f>
        <v>7</v>
      </c>
      <c r="M54" s="27">
        <f>COUNTIFS(Ambulatorio!$M$73:$M$483,"Ayudas Diagnósticas Servicios Complementarios",Ambulatorio!$Y$73:Y$483,"6")</f>
        <v>7</v>
      </c>
      <c r="N54" s="27">
        <f>COUNTIFS(Ambulatorio!$M$73:$M$483,"Ayudas Diagnósticas Servicios Complementarios",Ambulatorio!$Z$73:Z$483,"6")</f>
        <v>0</v>
      </c>
      <c r="O54" s="27">
        <f>COUNTIFS(Ambulatorio!$M$73:$M$483,"Ayudas Diagnósticas Servicios Complementarios",Ambulatorio!$AA$73:AA$483,"6")</f>
        <v>7</v>
      </c>
      <c r="P54" s="27">
        <f>COUNTIFS(Ambulatorio!$M$73:$M$483,"Ayudas Diagnósticas Servicios Complementarios",Ambulatorio!$AB$73:AB$483,"6")</f>
        <v>0</v>
      </c>
    </row>
    <row r="55" spans="1:16">
      <c r="A55" s="77" t="s">
        <v>114</v>
      </c>
      <c r="B55" s="27">
        <f>COUNTIFS(Ambulatorio!$M$73:$M$483,"Ayudas Diagnósticas Servicios Complementarios",Ambulatorio!N$73:$N$483,"5")</f>
        <v>30</v>
      </c>
      <c r="C55" s="27">
        <f>COUNTIFS(Ambulatorio!$M$73:$M$483,"Ayudas Diagnósticas Servicios Complementarios",Ambulatorio!$O$73:O$483,"5")</f>
        <v>30</v>
      </c>
      <c r="D55" s="27">
        <f>COUNTIFS(Ambulatorio!$M$73:$M$483,"Ayudas Diagnósticas Servicios Complementarios",Ambulatorio!$P$73:P$483,"5")</f>
        <v>30</v>
      </c>
      <c r="E55" s="27">
        <f>COUNTIFS(Ambulatorio!$M$73:$M$483,"Ayudas Diagnósticas Servicios Complementarios",Ambulatorio!$Q$73:Q$483,"5")</f>
        <v>28</v>
      </c>
      <c r="F55" s="27">
        <f>COUNTIFS(Ambulatorio!$M$73:$M$483,"Ayudas Diagnósticas Servicios Complementarios",Ambulatorio!$R$73:R$483,"5")</f>
        <v>24</v>
      </c>
      <c r="G55" s="27">
        <f>COUNTIFS(Ambulatorio!$M$73:$M$483,"Ayudas Diagnósticas Servicios Complementarios",Ambulatorio!$S$73:S$483,"5")</f>
        <v>23</v>
      </c>
      <c r="H55" s="27">
        <f>COUNTIFS(Ambulatorio!$M$73:$M$483,"Ayudas Diagnósticas Servicios Complementarios",Ambulatorio!$T$73:T$483,"5")</f>
        <v>30</v>
      </c>
      <c r="I55" s="27">
        <f>COUNTIFS(Ambulatorio!$M$73:$M$483,"Ayudas Diagnósticas Servicios Complementarios",Ambulatorio!$U$73:U$483,"5")</f>
        <v>30</v>
      </c>
      <c r="J55" s="27">
        <f>COUNTIFS(Ambulatorio!$M$73:$M$483,"Ayudas Diagnósticas Servicios Complementarios",Ambulatorio!$V$73:V$483,"5")</f>
        <v>23</v>
      </c>
      <c r="K55" s="27">
        <f>COUNTIFS(Ambulatorio!$M$73:$M$483,"Ayudas Diagnósticas Servicios Complementarios",Ambulatorio!$W$73:W$483,"5")</f>
        <v>23</v>
      </c>
      <c r="L55" s="27">
        <f>COUNTIFS(Ambulatorio!$M$73:$M$483,"Ayudas Diagnósticas Servicios Complementarios",Ambulatorio!$X$73:X$483,"5")</f>
        <v>23</v>
      </c>
      <c r="M55" s="27">
        <f>COUNTIFS(Ambulatorio!$M$73:$M$483,"Ayudas Diagnósticas Servicios Complementarios",Ambulatorio!$Y$73:Y$483,"5")</f>
        <v>23</v>
      </c>
      <c r="N55" s="27">
        <f>COUNTIFS(Ambulatorio!$M$73:$M$483,"Ayudas Diagnósticas Servicios Complementarios",Ambulatorio!$Z$73:Z$483,"5")</f>
        <v>30</v>
      </c>
      <c r="O55" s="27">
        <f>COUNTIFS(Ambulatorio!$M$73:$M$483,"Ayudas Diagnósticas Servicios Complementarios",Ambulatorio!$AA$73:AA$483,"5")</f>
        <v>23</v>
      </c>
      <c r="P55" s="27">
        <f>COUNTIFS(Ambulatorio!$M$73:$M$483,"Ayudas Diagnósticas Servicios Complementarios",Ambulatorio!$AB$73:AB$483,"5")</f>
        <v>30</v>
      </c>
    </row>
    <row r="56" spans="1:16">
      <c r="A56" s="77" t="s">
        <v>115</v>
      </c>
      <c r="B56" s="27">
        <f>COUNTIFS(Ambulatorio!$M$73:$M$483,"Ayudas Diagnósticas Servicios Complementarios",Ambulatorio!N$73:$N$483,"4")</f>
        <v>0</v>
      </c>
      <c r="C56" s="27">
        <f>COUNTIFS(Ambulatorio!$M$73:$M$483,"Ayudas Diagnósticas Servicios Complementarios",Ambulatorio!$O$73:O$483,"4")</f>
        <v>0</v>
      </c>
      <c r="D56" s="27">
        <f>COUNTIFS(Ambulatorio!$M$73:$M$483,"Ayudas Diagnósticas Servicios Complementarios",Ambulatorio!$P$73:P$483,"4")</f>
        <v>0</v>
      </c>
      <c r="E56" s="27">
        <f>COUNTIFS(Ambulatorio!$M$73:$M$483,"Ayudas Diagnósticas Servicios Complementarios",Ambulatorio!$Q$73:Q$483,"4")</f>
        <v>0</v>
      </c>
      <c r="F56" s="27">
        <f>COUNTIFS(Ambulatorio!$M$73:$M$483,"Ayudas Diagnósticas Servicios Complementarios",Ambulatorio!$R$73:R$483,"4")</f>
        <v>0</v>
      </c>
      <c r="G56" s="27">
        <f>COUNTIFS(Ambulatorio!$M$73:$M$483,"Ayudas Diagnósticas Servicios Complementarios",Ambulatorio!$S$73:S$483,"4")</f>
        <v>0</v>
      </c>
      <c r="H56" s="27">
        <f>COUNTIFS(Ambulatorio!$M$73:$M$483,"Ayudas Diagnósticas Servicios Complementarios",Ambulatorio!$T$73:T$483,"4")</f>
        <v>0</v>
      </c>
      <c r="I56" s="27">
        <f>COUNTIFS(Ambulatorio!$M$73:$M$483,"Ayudas Diagnósticas Servicios Complementarios",Ambulatorio!$U$73:U$483,"4")</f>
        <v>0</v>
      </c>
      <c r="J56" s="27">
        <f>COUNTIFS(Ambulatorio!$M$73:$M$483,"Ayudas Diagnósticas Servicios Complementarios",Ambulatorio!$V$73:V$483,"4")</f>
        <v>0</v>
      </c>
      <c r="K56" s="27">
        <f>COUNTIFS(Ambulatorio!$M$73:$M$483,"Ayudas Diagnósticas Servicios Complementarios",Ambulatorio!$W$73:W$483,"4")</f>
        <v>0</v>
      </c>
      <c r="L56" s="27">
        <f>COUNTIFS(Ambulatorio!$M$73:$M$483,"Ayudas Diagnósticas Servicios Complementarios",Ambulatorio!$X$73:X$483,"4")</f>
        <v>0</v>
      </c>
      <c r="M56" s="27">
        <f>COUNTIFS(Ambulatorio!$M$73:$M$483,"Ayudas Diagnósticas Servicios Complementarios",Ambulatorio!$Y$73:Y$483,"4")</f>
        <v>0</v>
      </c>
      <c r="N56" s="27">
        <f>COUNTIFS(Ambulatorio!$M$73:$M$483,"Ayudas Diagnósticas Servicios Complementarios",Ambulatorio!$Z$73:Z$483,"4")</f>
        <v>0</v>
      </c>
      <c r="O56" s="27">
        <f>COUNTIFS(Ambulatorio!$M$73:$M$483,"Ayudas Diagnósticas Servicios Complementarios",Ambulatorio!$AA$73:AA$483,"4")</f>
        <v>0</v>
      </c>
      <c r="P56" s="27">
        <f>COUNTIFS(Ambulatorio!$M$73:$M$483,"Ayudas Diagnósticas Servicios Complementarios",Ambulatorio!$AB$73:AB$483,"4")</f>
        <v>0</v>
      </c>
    </row>
    <row r="57" spans="1:16">
      <c r="A57" s="77" t="s">
        <v>116</v>
      </c>
      <c r="B57" s="27">
        <f>COUNTIFS(Ambulatorio!$M$73:$M$483,"Ayudas Diagnósticas Servicios Complementarios",Ambulatorio!N$73:$N$483,"3")</f>
        <v>0</v>
      </c>
      <c r="C57" s="27">
        <f>COUNTIFS(Ambulatorio!$M$73:$M$483,"Ayudas Diagnósticas Servicios Complementarios",Ambulatorio!$O$73:O$483,"3")</f>
        <v>0</v>
      </c>
      <c r="D57" s="27">
        <f>COUNTIFS(Ambulatorio!$M$73:$M$483,"Ayudas Diagnósticas Servicios Complementarios",Ambulatorio!$P$73:P$483,"3")</f>
        <v>0</v>
      </c>
      <c r="E57" s="27">
        <f>COUNTIFS(Ambulatorio!$M$73:$M$483,"Ayudas Diagnósticas Servicios Complementarios",Ambulatorio!$Q$73:Q$483,"3")</f>
        <v>0</v>
      </c>
      <c r="F57" s="27">
        <f>COUNTIFS(Ambulatorio!$M$73:$M$483,"Ayudas Diagnósticas Servicios Complementarios",Ambulatorio!$R$73:R$483,"3")</f>
        <v>0</v>
      </c>
      <c r="G57" s="27">
        <f>COUNTIFS(Ambulatorio!$M$73:$M$483,"Ayudas Diagnósticas Servicios Complementarios",Ambulatorio!$S$73:S$483,"3")</f>
        <v>0</v>
      </c>
      <c r="H57" s="27">
        <f>COUNTIFS(Ambulatorio!$M$73:$M$483,"Ayudas Diagnósticas Servicios Complementarios",Ambulatorio!$T$73:T$483,"3")</f>
        <v>0</v>
      </c>
      <c r="I57" s="27">
        <f>COUNTIFS(Ambulatorio!$M$73:$M$483,"Ayudas Diagnósticas Servicios Complementarios",Ambulatorio!$U$73:U$483,"3")</f>
        <v>0</v>
      </c>
      <c r="J57" s="27">
        <f>COUNTIFS(Ambulatorio!$M$73:$M$483,"Ayudas Diagnósticas Servicios Complementarios",Ambulatorio!$V$73:V$483,"3")</f>
        <v>0</v>
      </c>
      <c r="K57" s="27">
        <f>COUNTIFS(Ambulatorio!$M$73:$M$483,"Ayudas Diagnósticas Servicios Complementarios",Ambulatorio!$W$73:W$483,"3")</f>
        <v>0</v>
      </c>
      <c r="L57" s="27">
        <f>COUNTIFS(Ambulatorio!$M$73:$M$483,"Ayudas Diagnósticas Servicios Complementarios",Ambulatorio!$X$73:X$483,"3")</f>
        <v>0</v>
      </c>
      <c r="M57" s="27">
        <f>COUNTIFS(Ambulatorio!$M$73:$M$483,"Ayudas Diagnósticas Servicios Complementarios",Ambulatorio!$Y$73:Y$483,"3")</f>
        <v>0</v>
      </c>
      <c r="N57" s="27">
        <f>COUNTIFS(Ambulatorio!$M$73:$M$483,"Ayudas Diagnósticas Servicios Complementarios",Ambulatorio!$Z$73:Z$483,"3")</f>
        <v>0</v>
      </c>
      <c r="O57" s="27">
        <f>COUNTIFS(Ambulatorio!$M$73:$M$483,"Ayudas Diagnósticas Servicios Complementarios",Ambulatorio!$AA$73:AA$483,"3")</f>
        <v>0</v>
      </c>
      <c r="P57" s="27">
        <f>COUNTIFS(Ambulatorio!$M$73:$M$483,"Ayudas Diagnósticas Servicios Complementarios",Ambulatorio!$AB$73:AB$483,"3")</f>
        <v>0</v>
      </c>
    </row>
    <row r="58" spans="1:16">
      <c r="A58" s="77" t="s">
        <v>117</v>
      </c>
      <c r="B58" s="27">
        <f>COUNTIFS(Ambulatorio!$M$73:$M$483,"Ayudas Diagnósticas Servicios Complementarios",Ambulatorio!N$73:$N$483,"2")</f>
        <v>0</v>
      </c>
      <c r="C58" s="27">
        <f>COUNTIFS(Ambulatorio!$M$73:$M$483,"Ayudas Diagnósticas Servicios Complementarios",Ambulatorio!$O$73:O$483,"2")</f>
        <v>0</v>
      </c>
      <c r="D58" s="27">
        <f>COUNTIFS(Ambulatorio!$M$73:$M$483,"Ayudas Diagnósticas Servicios Complementarios",Ambulatorio!$P$73:P$483,"2")</f>
        <v>0</v>
      </c>
      <c r="E58" s="27">
        <f>COUNTIFS(Ambulatorio!$M$73:$M$483,"Ayudas Diagnósticas Servicios Complementarios",Ambulatorio!$Q$73:Q$483,"2")</f>
        <v>0</v>
      </c>
      <c r="F58" s="27">
        <f>COUNTIFS(Ambulatorio!$M$73:$M$483,"Ayudas Diagnósticas Servicios Complementarios",Ambulatorio!$R$73:R$483,"2")</f>
        <v>0</v>
      </c>
      <c r="G58" s="27">
        <f>COUNTIFS(Ambulatorio!$M$73:$M$483,"Ayudas Diagnósticas Servicios Complementarios",Ambulatorio!$S$73:S$483,"2")</f>
        <v>0</v>
      </c>
      <c r="H58" s="27">
        <f>COUNTIFS(Ambulatorio!$M$73:$M$483,"Ayudas Diagnósticas Servicios Complementarios",Ambulatorio!$T$73:T$483,"2")</f>
        <v>0</v>
      </c>
      <c r="I58" s="27">
        <f>COUNTIFS(Ambulatorio!$M$73:$M$483,"Ayudas Diagnósticas Servicios Complementarios",Ambulatorio!$U$73:U$483,"2")</f>
        <v>0</v>
      </c>
      <c r="J58" s="27">
        <f>COUNTIFS(Ambulatorio!$M$73:$M$483,"Ayudas Diagnósticas Servicios Complementarios",Ambulatorio!$V$73:V$483,"2")</f>
        <v>0</v>
      </c>
      <c r="K58" s="27">
        <f>COUNTIFS(Ambulatorio!$M$73:$M$483,"Ayudas Diagnósticas Servicios Complementarios",Ambulatorio!$W$73:W$483,"2")</f>
        <v>0</v>
      </c>
      <c r="L58" s="27">
        <f>COUNTIFS(Ambulatorio!$M$73:$M$483,"Ayudas Diagnósticas Servicios Complementarios",Ambulatorio!$X$73:X$483,"2")</f>
        <v>0</v>
      </c>
      <c r="M58" s="27">
        <f>COUNTIFS(Ambulatorio!$M$73:$M$483,"Ayudas Diagnósticas Servicios Complementarios",Ambulatorio!$Y$73:Y$483,"2")</f>
        <v>0</v>
      </c>
      <c r="N58" s="27">
        <f>COUNTIFS(Ambulatorio!$M$73:$M$483,"Ayudas Diagnósticas Servicios Complementarios",Ambulatorio!$Z$73:Z$483,"2")</f>
        <v>0</v>
      </c>
      <c r="O58" s="27">
        <f>COUNTIFS(Ambulatorio!$M$73:$M$483,"Ayudas Diagnósticas Servicios Complementarios",Ambulatorio!$AA$73:AA$483,"2")</f>
        <v>0</v>
      </c>
      <c r="P58" s="27">
        <f>COUNTIFS(Ambulatorio!$M$73:$M$483,"Ayudas Diagnósticas Servicios Complementarios",Ambulatorio!$AB$73:AB$483,"2")</f>
        <v>0</v>
      </c>
    </row>
    <row r="59" spans="1:16">
      <c r="A59" s="77" t="s">
        <v>118</v>
      </c>
      <c r="B59" s="27">
        <f>COUNTIFS(Ambulatorio!$M$73:$M$483,"Ayudas Diagnósticas Servicios Complementarios",Ambulatorio!N$73:$N$483,"1")</f>
        <v>0</v>
      </c>
      <c r="C59" s="27">
        <f>COUNTIFS(Ambulatorio!$M$73:$M$483,"Ayudas Diagnósticas Servicios Complementarios",Ambulatorio!$O$73:O$483,"1")</f>
        <v>0</v>
      </c>
      <c r="D59" s="27">
        <f>COUNTIFS(Ambulatorio!$M$73:$M$483,"Ayudas Diagnósticas Servicios Complementarios",Ambulatorio!$P$73:P$483,"1")</f>
        <v>0</v>
      </c>
      <c r="E59" s="27">
        <f>COUNTIFS(Ambulatorio!$M$73:$M$483,"Ayudas Diagnósticas Servicios Complementarios",Ambulatorio!$Q$73:Q$483,"1")</f>
        <v>0</v>
      </c>
      <c r="F59" s="27">
        <f>COUNTIFS(Ambulatorio!$M$73:$M$483,"Ayudas Diagnósticas Servicios Complementarios",Ambulatorio!$R$73:R$483,"1")</f>
        <v>0</v>
      </c>
      <c r="G59" s="27">
        <f>COUNTIFS(Ambulatorio!$M$73:$M$483,"Ayudas Diagnósticas Servicios Complementarios",Ambulatorio!$S$73:S$483,"1")</f>
        <v>0</v>
      </c>
      <c r="H59" s="27">
        <f>COUNTIFS(Ambulatorio!$M$73:$M$483,"Ayudas Diagnósticas Servicios Complementarios",Ambulatorio!$T$73:T$483,"1")</f>
        <v>0</v>
      </c>
      <c r="I59" s="27">
        <f>COUNTIFS(Ambulatorio!$M$73:$M$483,"Ayudas Diagnósticas Servicios Complementarios",Ambulatorio!$U$73:U$483,"1")</f>
        <v>0</v>
      </c>
      <c r="J59" s="27">
        <f>COUNTIFS(Ambulatorio!$M$73:$M$483,"Ayudas Diagnósticas Servicios Complementarios",Ambulatorio!$V$73:V$483,"1")</f>
        <v>0</v>
      </c>
      <c r="K59" s="27">
        <f>COUNTIFS(Ambulatorio!$M$73:$M$483,"Ayudas Diagnósticas Servicios Complementarios",Ambulatorio!$W$73:W$483,"1")</f>
        <v>0</v>
      </c>
      <c r="L59" s="27">
        <f>COUNTIFS(Ambulatorio!$M$73:$M$483,"Ayudas Diagnósticas Servicios Complementarios",Ambulatorio!$X$73:X$483,"1")</f>
        <v>0</v>
      </c>
      <c r="M59" s="27">
        <f>COUNTIFS(Ambulatorio!$M$73:$M$483,"Ayudas Diagnósticas Servicios Complementarios",Ambulatorio!$Y$73:Y$483,"1")</f>
        <v>0</v>
      </c>
      <c r="N59" s="27">
        <f>COUNTIFS(Ambulatorio!$M$73:$M$483,"Ayudas Diagnósticas Servicios Complementarios",Ambulatorio!$Z$73:Z$483,"1")</f>
        <v>0</v>
      </c>
      <c r="O59" s="27">
        <f>COUNTIFS(Ambulatorio!$M$73:$M$483,"Ayudas Diagnósticas Servicios Complementarios",Ambulatorio!$AA$73:AA$483,"1")</f>
        <v>0</v>
      </c>
      <c r="P59" s="27">
        <f>COUNTIFS(Ambulatorio!$M$73:$M$483,"Ayudas Diagnósticas Servicios Complementarios",Ambulatorio!$AB$73:AB$483,"1")</f>
        <v>0</v>
      </c>
    </row>
    <row r="60" spans="1:16">
      <c r="B60" s="25">
        <f>SUM(B52:B59)</f>
        <v>30</v>
      </c>
      <c r="C60" s="25">
        <f t="shared" ref="C60:O60" si="4">SUM(C53:C59)</f>
        <v>30</v>
      </c>
      <c r="D60" s="25">
        <f t="shared" si="4"/>
        <v>30</v>
      </c>
      <c r="E60" s="25">
        <f t="shared" si="4"/>
        <v>30</v>
      </c>
      <c r="F60" s="25">
        <f t="shared" si="4"/>
        <v>30</v>
      </c>
      <c r="G60" s="25">
        <f t="shared" si="4"/>
        <v>30</v>
      </c>
      <c r="H60" s="25">
        <f t="shared" si="4"/>
        <v>30</v>
      </c>
      <c r="I60" s="25">
        <f t="shared" si="4"/>
        <v>30</v>
      </c>
      <c r="J60" s="25">
        <f t="shared" si="4"/>
        <v>30</v>
      </c>
      <c r="K60" s="25">
        <f t="shared" si="4"/>
        <v>30</v>
      </c>
      <c r="L60" s="25">
        <f t="shared" si="4"/>
        <v>30</v>
      </c>
      <c r="M60" s="25">
        <f t="shared" si="4"/>
        <v>30</v>
      </c>
      <c r="N60" s="25">
        <f t="shared" si="4"/>
        <v>30</v>
      </c>
      <c r="O60" s="25">
        <f t="shared" si="4"/>
        <v>30</v>
      </c>
      <c r="P60" s="25">
        <f>SUM(P52:P59)</f>
        <v>30</v>
      </c>
    </row>
    <row r="62" spans="1:16" ht="35.4" customHeight="1">
      <c r="B62" s="184" t="s">
        <v>137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</row>
    <row r="63" spans="1:16" ht="52.8">
      <c r="B63" s="90" t="s">
        <v>99</v>
      </c>
      <c r="C63" s="90" t="s">
        <v>100</v>
      </c>
      <c r="D63" s="90" t="s">
        <v>101</v>
      </c>
      <c r="E63" s="90" t="s">
        <v>102</v>
      </c>
      <c r="F63" s="90" t="s">
        <v>103</v>
      </c>
      <c r="G63" s="90" t="s">
        <v>104</v>
      </c>
      <c r="H63" s="90" t="s">
        <v>105</v>
      </c>
      <c r="I63" s="90" t="s">
        <v>106</v>
      </c>
      <c r="J63" s="90" t="s">
        <v>107</v>
      </c>
      <c r="K63" s="90" t="s">
        <v>108</v>
      </c>
      <c r="L63" s="90" t="s">
        <v>109</v>
      </c>
      <c r="M63" s="90" t="s">
        <v>110</v>
      </c>
      <c r="N63" s="90" t="s">
        <v>132</v>
      </c>
      <c r="O63" s="90" t="s">
        <v>133</v>
      </c>
      <c r="P63" s="90" t="s">
        <v>134</v>
      </c>
    </row>
    <row r="64" spans="1:16" ht="17.399999999999999" customHeight="1">
      <c r="A64" s="5" t="s">
        <v>111</v>
      </c>
      <c r="B64" s="27">
        <f>COUNTIFS(Ambulatorio!$M$73:$M$483,"Urgencias",Ambulatorio!N$73:$N$483,"8")</f>
        <v>0</v>
      </c>
      <c r="C64" s="27">
        <f>COUNTIFS(Ambulatorio!$M$73:$M$483,"Urgencias",Ambulatorio!$O$73:O$483,"8")</f>
        <v>0</v>
      </c>
      <c r="D64" s="27">
        <f>COUNTIFS(Ambulatorio!$M$73:$M$483,"Urgencias",Ambulatorio!$P$73:P$483,"8")</f>
        <v>0</v>
      </c>
      <c r="E64" s="27">
        <f>COUNTIFS(Ambulatorio!$M$73:$M$483,"Urgencias",Ambulatorio!$Q$73:Q$483,"8")</f>
        <v>0</v>
      </c>
      <c r="F64" s="27">
        <f>COUNTIFS(Ambulatorio!$M$73:$M$483,"Urgencias",Ambulatorio!$R$73:R$483,"8")</f>
        <v>0</v>
      </c>
      <c r="G64" s="27">
        <f>COUNTIFS(Ambulatorio!$M$73:$M$483,"Urgencias",Ambulatorio!$S$73:S$483,"8")</f>
        <v>0</v>
      </c>
      <c r="H64" s="27">
        <f>COUNTIFS(Ambulatorio!$M$73:$M$483,"Urgencias",Ambulatorio!$T$73:T$483,"8")</f>
        <v>0</v>
      </c>
      <c r="I64" s="27">
        <f>COUNTIFS(Ambulatorio!$M$73:$M$483,"Urgencias",Ambulatorio!$U$73:U$483,"8")</f>
        <v>0</v>
      </c>
      <c r="J64" s="27">
        <f>COUNTIFS(Ambulatorio!$M$73:$M$483,"Urgencias",Ambulatorio!$V$73:V$483,"8")</f>
        <v>0</v>
      </c>
      <c r="K64" s="27">
        <f>COUNTIFS(Ambulatorio!$M$73:$M$483,"Urgencias",Ambulatorio!$W$73:W$483,"8")</f>
        <v>0</v>
      </c>
      <c r="L64" s="27">
        <f>COUNTIFS(Ambulatorio!$M$73:$M$483,"Urgencias",Ambulatorio!$X$73:X$483,"8")</f>
        <v>0</v>
      </c>
      <c r="M64" s="27">
        <f>COUNTIFS(Ambulatorio!$M$73:$M$483,"Urgencias",Ambulatorio!$Y$73:Y$483,"8")</f>
        <v>0</v>
      </c>
      <c r="N64" s="27">
        <f>COUNTIFS(Ambulatorio!$M$73:$M$483,"Urgencias",Ambulatorio!$Z$73:Z$483,"8")</f>
        <v>0</v>
      </c>
      <c r="O64" s="27">
        <f>COUNTIFS(Ambulatorio!$M$73:$M$483,"Urgencias",Ambulatorio!$AA$73:AA$483,"8")</f>
        <v>0</v>
      </c>
      <c r="P64" s="27">
        <f>COUNTIFS(Ambulatorio!$M$73:$M$483,"Urgencias",Ambulatorio!$AB$73:AB$483,"8")</f>
        <v>0</v>
      </c>
    </row>
    <row r="65" spans="1:16" ht="15" customHeight="1">
      <c r="A65" s="5" t="s">
        <v>112</v>
      </c>
      <c r="B65" s="27">
        <f>COUNTIFS(Ambulatorio!$M$73:$M$483,"Urgencias",Ambulatorio!N$73:$N$483,"7")</f>
        <v>0</v>
      </c>
      <c r="C65" s="27">
        <f>COUNTIFS(Ambulatorio!$M$73:$M$483,"Urgencias",Ambulatorio!$O$73:O$483,"7")</f>
        <v>0</v>
      </c>
      <c r="D65" s="27">
        <f>COUNTIFS(Ambulatorio!$M$73:$M$483,"Urgencias",Ambulatorio!$P$73:P$483,"7")</f>
        <v>0</v>
      </c>
      <c r="E65" s="27">
        <f>COUNTIFS(Ambulatorio!$M$73:$M$483,"Urgencias",Ambulatorio!$Q$73:Q$483,"7")</f>
        <v>0</v>
      </c>
      <c r="F65" s="27">
        <f>COUNTIFS(Ambulatorio!$M$73:$M$483,"Urgencias",Ambulatorio!$R$73:R$483,"7")</f>
        <v>0</v>
      </c>
      <c r="G65" s="27">
        <f>COUNTIFS(Ambulatorio!$M$73:$M$483,"Urgencias",Ambulatorio!$S$73:S$483,"7")</f>
        <v>0</v>
      </c>
      <c r="H65" s="27">
        <f>COUNTIFS(Ambulatorio!$M$73:$M$483,"Urgencias",Ambulatorio!$T$73:T$483,"7")</f>
        <v>0</v>
      </c>
      <c r="I65" s="27">
        <f>COUNTIFS(Ambulatorio!$M$73:$M$483,"Urgencias",Ambulatorio!$U$73:U$483,"7")</f>
        <v>0</v>
      </c>
      <c r="J65" s="27">
        <f>COUNTIFS(Ambulatorio!$M$73:$M$483,"Urgencias",Ambulatorio!$V$73:V$483,"7")</f>
        <v>0</v>
      </c>
      <c r="K65" s="27">
        <f>COUNTIFS(Ambulatorio!$M$73:$M$483,"Urgencias",Ambulatorio!$W$73:W$483,"7")</f>
        <v>0</v>
      </c>
      <c r="L65" s="27">
        <f>COUNTIFS(Ambulatorio!$M$73:$M$483,"Urgencias",Ambulatorio!$X$73:X$483,"7")</f>
        <v>0</v>
      </c>
      <c r="M65" s="27">
        <f>COUNTIFS(Ambulatorio!$M$73:$M$483,"Urgencias",Ambulatorio!$Y$73:Y$483,"7")</f>
        <v>0</v>
      </c>
      <c r="N65" s="27">
        <f>COUNTIFS(Ambulatorio!$M$73:$M$483,"Urgencias",Ambulatorio!$Z$73:Z$483,"7")</f>
        <v>0</v>
      </c>
      <c r="O65" s="27">
        <f>COUNTIFS(Ambulatorio!$M$73:$M$483,"Urgencias",Ambulatorio!$AA$73:AA$483,"7")</f>
        <v>0</v>
      </c>
      <c r="P65" s="27">
        <f>COUNTIFS(Ambulatorio!$M$73:$M$483,"Urgencias",Ambulatorio!$AB$73:AB$483,"7")</f>
        <v>0</v>
      </c>
    </row>
    <row r="66" spans="1:16">
      <c r="A66" s="77" t="s">
        <v>113</v>
      </c>
      <c r="B66" s="27">
        <f>COUNTIFS(Ambulatorio!$M$73:$M$483,"Urgencias",Ambulatorio!N$73:$N$483,"6")</f>
        <v>2</v>
      </c>
      <c r="C66" s="27">
        <f>COUNTIFS(Ambulatorio!$M$73:$M$483,"Urgencias",Ambulatorio!$O$73:O$483,"6")</f>
        <v>1</v>
      </c>
      <c r="D66" s="27">
        <f>COUNTIFS(Ambulatorio!$M$73:$M$483,"Urgencias",Ambulatorio!$P$73:P$483,"6")</f>
        <v>0</v>
      </c>
      <c r="E66" s="27">
        <f>COUNTIFS(Ambulatorio!$M$73:$M$483,"Urgencias",Ambulatorio!$Q$73:Q$483,"6")</f>
        <v>2</v>
      </c>
      <c r="F66" s="27">
        <f>COUNTIFS(Ambulatorio!$M$73:$M$483,"Urgencias",Ambulatorio!$R$73:R$483,"6")</f>
        <v>2</v>
      </c>
      <c r="G66" s="27">
        <f>COUNTIFS(Ambulatorio!$M$73:$M$483,"Urgencias",Ambulatorio!$S$73:S$483,"6")</f>
        <v>1</v>
      </c>
      <c r="H66" s="27">
        <f>COUNTIFS(Ambulatorio!$M$73:$M$483,"Urgencias",Ambulatorio!$T$73:T$483,"6")</f>
        <v>0</v>
      </c>
      <c r="I66" s="27">
        <f>COUNTIFS(Ambulatorio!$M$73:$M$483,"Urgencias",Ambulatorio!$U$73:U$483,"6")</f>
        <v>0</v>
      </c>
      <c r="J66" s="27">
        <f>COUNTIFS(Ambulatorio!$M$73:$M$483,"Urgencias",Ambulatorio!$V$73:V$483,"6")</f>
        <v>0</v>
      </c>
      <c r="K66" s="27">
        <f>COUNTIFS(Ambulatorio!$M$73:$M$483,"Urgencias",Ambulatorio!$W$73:W$483,"6")</f>
        <v>0</v>
      </c>
      <c r="L66" s="27">
        <f>COUNTIFS(Ambulatorio!$M$73:$M$483,"Urgencias",Ambulatorio!$X$73:X$483,"6")</f>
        <v>0</v>
      </c>
      <c r="M66" s="27">
        <f>COUNTIFS(Ambulatorio!$M$73:$M$483,"Urgencias",Ambulatorio!$Y$73:Y$483,"6")</f>
        <v>0</v>
      </c>
      <c r="N66" s="27">
        <f>COUNTIFS(Ambulatorio!$M$73:$M$483,"Urgencias",Ambulatorio!$Z$73:Z$483,"6")</f>
        <v>0</v>
      </c>
      <c r="O66" s="27">
        <f>COUNTIFS(Ambulatorio!$M$73:$M$483,"Urgencias",Ambulatorio!$AA$73:AA$483,"6")</f>
        <v>2</v>
      </c>
      <c r="P66" s="27">
        <f>COUNTIFS(Ambulatorio!$M$73:$M$483,"Urgencias",Ambulatorio!$AB$73:AB$483,"6")</f>
        <v>2</v>
      </c>
    </row>
    <row r="67" spans="1:16">
      <c r="A67" s="77" t="s">
        <v>114</v>
      </c>
      <c r="B67" s="27">
        <f>COUNTIFS(Ambulatorio!$M$73:$M$483,"Urgencias",Ambulatorio!N$73:$N$483,"5")</f>
        <v>95</v>
      </c>
      <c r="C67" s="27">
        <f>COUNTIFS(Ambulatorio!$M$73:$M$483,"Urgencias",Ambulatorio!$O$73:O$483,"5")</f>
        <v>95</v>
      </c>
      <c r="D67" s="27">
        <f>COUNTIFS(Ambulatorio!$M$73:$M$483,"Urgencias",Ambulatorio!$P$73:P$483,"5")</f>
        <v>95</v>
      </c>
      <c r="E67" s="27">
        <f>COUNTIFS(Ambulatorio!$M$73:$M$483,"Urgencias",Ambulatorio!$Q$73:Q$483,"5")</f>
        <v>95</v>
      </c>
      <c r="F67" s="27">
        <f>COUNTIFS(Ambulatorio!$M$73:$M$483,"Urgencias",Ambulatorio!$R$73:R$483,"5")</f>
        <v>95</v>
      </c>
      <c r="G67" s="27">
        <f>COUNTIFS(Ambulatorio!$M$73:$M$483,"Urgencias",Ambulatorio!$S$73:S$483,"5")</f>
        <v>95</v>
      </c>
      <c r="H67" s="27">
        <f>COUNTIFS(Ambulatorio!$M$73:$M$483,"Urgencias",Ambulatorio!$T$73:T$483,"5")</f>
        <v>95</v>
      </c>
      <c r="I67" s="27">
        <f>COUNTIFS(Ambulatorio!$M$73:$M$483,"Urgencias",Ambulatorio!$U$73:U$483,"5")</f>
        <v>95</v>
      </c>
      <c r="J67" s="27">
        <f>COUNTIFS(Ambulatorio!$M$73:$M$483,"Urgencias",Ambulatorio!$V$73:V$483,"5")</f>
        <v>95</v>
      </c>
      <c r="K67" s="27">
        <f>COUNTIFS(Ambulatorio!$M$73:$M$483,"Urgencias",Ambulatorio!$W$73:W$483,"5")</f>
        <v>95</v>
      </c>
      <c r="L67" s="27">
        <f>COUNTIFS(Ambulatorio!$M$73:$M$483,"Urgencias",Ambulatorio!$X$73:X$483,"5")</f>
        <v>95</v>
      </c>
      <c r="M67" s="27">
        <f>COUNTIFS(Ambulatorio!$M$73:$M$483,"Urgencias",Ambulatorio!$Y$73:Y$483,"5")</f>
        <v>95</v>
      </c>
      <c r="N67" s="27">
        <f>COUNTIFS(Ambulatorio!$M$73:$M$483,"Urgencias",Ambulatorio!$Z$73:Z$483,"5")</f>
        <v>95</v>
      </c>
      <c r="O67" s="27">
        <f>COUNTIFS(Ambulatorio!$M$73:$M$483,"Urgencias",Ambulatorio!$AA$73:AA$483,"5")</f>
        <v>95</v>
      </c>
      <c r="P67" s="27">
        <f>COUNTIFS(Ambulatorio!$M$73:$M$483,"Urgencias",Ambulatorio!$AB$73:AB$483,"5")</f>
        <v>95</v>
      </c>
    </row>
    <row r="68" spans="1:16">
      <c r="A68" s="77" t="s">
        <v>115</v>
      </c>
      <c r="B68" s="27">
        <f>COUNTIFS(Ambulatorio!$M$73:$M$483,"Urgencias",Ambulatorio!N$73:$N$483,"4")</f>
        <v>1</v>
      </c>
      <c r="C68" s="27">
        <f>COUNTIFS(Ambulatorio!$M$73:$M$483,"Urgencias",Ambulatorio!$O$73:O$483,"4")</f>
        <v>1</v>
      </c>
      <c r="D68" s="27">
        <f>COUNTIFS(Ambulatorio!$M$73:$M$483,"Urgencias",Ambulatorio!$P$73:P$483,"4")</f>
        <v>2</v>
      </c>
      <c r="E68" s="27">
        <f>COUNTIFS(Ambulatorio!$M$73:$M$483,"Urgencias",Ambulatorio!$Q$73:Q$483,"4")</f>
        <v>1</v>
      </c>
      <c r="F68" s="27">
        <f>COUNTIFS(Ambulatorio!$M$73:$M$483,"Urgencias",Ambulatorio!$R$73:R$483,"4")</f>
        <v>1</v>
      </c>
      <c r="G68" s="27">
        <f>COUNTIFS(Ambulatorio!$M$73:$M$483,"Urgencias",Ambulatorio!$S$73:S$483,"4")</f>
        <v>1</v>
      </c>
      <c r="H68" s="27">
        <f>COUNTIFS(Ambulatorio!$M$73:$M$483,"Urgencias",Ambulatorio!$T$73:T$483,"4")</f>
        <v>2</v>
      </c>
      <c r="I68" s="27">
        <f>COUNTIFS(Ambulatorio!$M$73:$M$483,"Urgencias",Ambulatorio!$U$73:U$483,"4")</f>
        <v>2</v>
      </c>
      <c r="J68" s="27">
        <f>COUNTIFS(Ambulatorio!$M$73:$M$483,"Urgencias",Ambulatorio!$V$73:V$483,"4")</f>
        <v>2</v>
      </c>
      <c r="K68" s="27">
        <f>COUNTIFS(Ambulatorio!$M$73:$M$483,"Urgencias",Ambulatorio!$W$73:W$483,"4")</f>
        <v>2</v>
      </c>
      <c r="L68" s="27">
        <f>COUNTIFS(Ambulatorio!$M$73:$M$483,"Urgencias",Ambulatorio!$X$73:X$483,"4")</f>
        <v>2</v>
      </c>
      <c r="M68" s="27">
        <f>COUNTIFS(Ambulatorio!$M$73:$M$483,"Urgencias",Ambulatorio!$Y$73:Y$483,"4")</f>
        <v>2</v>
      </c>
      <c r="N68" s="27">
        <f>COUNTIFS(Ambulatorio!$M$73:$M$483,"Urgencias",Ambulatorio!$Z$73:Z$483,"4")</f>
        <v>2</v>
      </c>
      <c r="O68" s="27">
        <f>COUNTIFS(Ambulatorio!$M$73:$M$483,"Urgencias",Ambulatorio!$AA$73:AA$483,"4")</f>
        <v>1</v>
      </c>
      <c r="P68" s="27">
        <f>COUNTIFS(Ambulatorio!$M$73:$M$483,"Urgencias",Ambulatorio!$AB$73:AB$483,"4")</f>
        <v>1</v>
      </c>
    </row>
    <row r="69" spans="1:16">
      <c r="A69" s="77" t="s">
        <v>116</v>
      </c>
      <c r="B69" s="27">
        <f>COUNTIFS(Ambulatorio!$M$73:$M$483,"Urgencias",Ambulatorio!N$73:$N$483,"3")</f>
        <v>0</v>
      </c>
      <c r="C69" s="27">
        <f>COUNTIFS(Ambulatorio!$M$73:$M$483,"Urgencias",Ambulatorio!$O$73:O$483,"3")</f>
        <v>1</v>
      </c>
      <c r="D69" s="27">
        <f>COUNTIFS(Ambulatorio!$M$73:$M$483,"Urgencias",Ambulatorio!$P$73:P$483,"3")</f>
        <v>1</v>
      </c>
      <c r="E69" s="27">
        <f>COUNTIFS(Ambulatorio!$M$73:$M$483,"Urgencias",Ambulatorio!$Q$73:Q$483,"3")</f>
        <v>0</v>
      </c>
      <c r="F69" s="27">
        <f>COUNTIFS(Ambulatorio!$M$73:$M$483,"Urgencias",Ambulatorio!$R$73:R$483,"3")</f>
        <v>0</v>
      </c>
      <c r="G69" s="27">
        <f>COUNTIFS(Ambulatorio!$M$73:$M$483,"Urgencias",Ambulatorio!$S$73:S$483,"3")</f>
        <v>1</v>
      </c>
      <c r="H69" s="27">
        <f>COUNTIFS(Ambulatorio!$M$73:$M$483,"Urgencias",Ambulatorio!$T$73:T$483,"3")</f>
        <v>1</v>
      </c>
      <c r="I69" s="27">
        <f>COUNTIFS(Ambulatorio!$M$73:$M$483,"Urgencias",Ambulatorio!$U$73:U$483,"3")</f>
        <v>1</v>
      </c>
      <c r="J69" s="27">
        <f>COUNTIFS(Ambulatorio!$M$73:$M$483,"Urgencias",Ambulatorio!$V$73:V$483,"3")</f>
        <v>1</v>
      </c>
      <c r="K69" s="27">
        <f>COUNTIFS(Ambulatorio!$M$73:$M$483,"Urgencias",Ambulatorio!$W$73:W$483,"3")</f>
        <v>1</v>
      </c>
      <c r="L69" s="27">
        <f>COUNTIFS(Ambulatorio!$M$73:$M$483,"Urgencias",Ambulatorio!$X$73:X$483,"3")</f>
        <v>1</v>
      </c>
      <c r="M69" s="27">
        <f>COUNTIFS(Ambulatorio!$M$73:$M$483,"Urgencias",Ambulatorio!$Y$73:Y$483,"3")</f>
        <v>1</v>
      </c>
      <c r="N69" s="27">
        <f>COUNTIFS(Ambulatorio!$M$73:$M$483,"Urgencias",Ambulatorio!$Z$73:Z$483,"3")</f>
        <v>1</v>
      </c>
      <c r="O69" s="27">
        <f>COUNTIFS(Ambulatorio!$M$73:$M$483,"Urgencias",Ambulatorio!$AA$73:AA$483,"3")</f>
        <v>0</v>
      </c>
      <c r="P69" s="27">
        <f>COUNTIFS(Ambulatorio!$M$73:$M$483,"Urgencias",Ambulatorio!$AB$73:AB$483,"3")</f>
        <v>0</v>
      </c>
    </row>
    <row r="70" spans="1:16">
      <c r="A70" s="77" t="s">
        <v>117</v>
      </c>
      <c r="B70" s="27">
        <f>COUNTIFS(Ambulatorio!$M$73:$M$483,"Urgencias",Ambulatorio!N$73:$N$483,"2")</f>
        <v>0</v>
      </c>
      <c r="C70" s="27">
        <f>COUNTIFS(Ambulatorio!$M$73:$M$483,"Urgencias",Ambulatorio!$O$73:O$483,"2")</f>
        <v>0</v>
      </c>
      <c r="D70" s="27">
        <f>COUNTIFS(Ambulatorio!$M$73:$M$483,"Urgencias",Ambulatorio!$P$73:P$483,"2")</f>
        <v>0</v>
      </c>
      <c r="E70" s="27">
        <f>COUNTIFS(Ambulatorio!$M$73:$M$483,"Urgencias",Ambulatorio!$Q$73:Q$483,"2")</f>
        <v>0</v>
      </c>
      <c r="F70" s="27">
        <f>COUNTIFS(Ambulatorio!$M$73:$M$483,"Urgencias",Ambulatorio!$R$73:R$483,"2")</f>
        <v>0</v>
      </c>
      <c r="G70" s="27">
        <f>COUNTIFS(Ambulatorio!$M$73:$M$483,"Urgencias",Ambulatorio!$S$73:S$483,"2")</f>
        <v>0</v>
      </c>
      <c r="H70" s="27">
        <f>COUNTIFS(Ambulatorio!$M$73:$M$483,"Urgencias",Ambulatorio!$T$73:T$483,"2")</f>
        <v>0</v>
      </c>
      <c r="I70" s="27">
        <f>COUNTIFS(Ambulatorio!$M$73:$M$483,"Urgencias",Ambulatorio!$U$73:U$483,"2")</f>
        <v>0</v>
      </c>
      <c r="J70" s="27">
        <f>COUNTIFS(Ambulatorio!$M$73:$M$483,"Urgencias",Ambulatorio!$V$73:V$483,"2")</f>
        <v>0</v>
      </c>
      <c r="K70" s="27">
        <f>COUNTIFS(Ambulatorio!$M$73:$M$483,"Urgencias",Ambulatorio!$W$73:W$483,"2")</f>
        <v>0</v>
      </c>
      <c r="L70" s="27">
        <f>COUNTIFS(Ambulatorio!$M$73:$M$483,"Urgencias",Ambulatorio!$X$73:X$483,"2")</f>
        <v>0</v>
      </c>
      <c r="M70" s="27">
        <f>COUNTIFS(Ambulatorio!$M$73:$M$483,"Urgencias",Ambulatorio!$Y$73:Y$483,"2")</f>
        <v>0</v>
      </c>
      <c r="N70" s="27">
        <f>COUNTIFS(Ambulatorio!$M$73:$M$483,"Urgencias",Ambulatorio!$Z$73:Z$483,"2")</f>
        <v>0</v>
      </c>
      <c r="O70" s="27">
        <f>COUNTIFS(Ambulatorio!$M$73:$M$483,"Urgencias",Ambulatorio!$AA$73:AA$483,"2")</f>
        <v>0</v>
      </c>
      <c r="P70" s="27">
        <f>COUNTIFS(Ambulatorio!$M$73:$M$483,"Urgencias",Ambulatorio!$AB$73:AB$483,"2")</f>
        <v>0</v>
      </c>
    </row>
    <row r="71" spans="1:16">
      <c r="A71" s="77" t="s">
        <v>118</v>
      </c>
      <c r="B71" s="27">
        <f>COUNTIFS(Ambulatorio!$M$73:$M$483,"Urgencias",Ambulatorio!N$73:$N$483,"1")</f>
        <v>0</v>
      </c>
      <c r="C71" s="27">
        <f>COUNTIFS(Ambulatorio!$M$73:$M$483,"Urgencias",Ambulatorio!$O$73:O$483,"1")</f>
        <v>0</v>
      </c>
      <c r="D71" s="27">
        <f>COUNTIFS(Ambulatorio!$M$73:$M$483,"Urgencias",Ambulatorio!$P$73:P$483,"1")</f>
        <v>0</v>
      </c>
      <c r="E71" s="27">
        <f>COUNTIFS(Ambulatorio!$M$73:$M$483,"Urgencias",Ambulatorio!$Q$73:Q$483,"1")</f>
        <v>0</v>
      </c>
      <c r="F71" s="27">
        <f>COUNTIFS(Ambulatorio!$M$73:$M$483,"Urgencias",Ambulatorio!$R$73:R$483,"1")</f>
        <v>0</v>
      </c>
      <c r="G71" s="27">
        <f>COUNTIFS(Ambulatorio!$M$73:$M$483,"Urgencias",Ambulatorio!$S$73:S$483,"1")</f>
        <v>0</v>
      </c>
      <c r="H71" s="27">
        <f>COUNTIFS(Ambulatorio!$M$73:$M$483,"Urgencias",Ambulatorio!$T$73:T$483,"1")</f>
        <v>0</v>
      </c>
      <c r="I71" s="27">
        <f>COUNTIFS(Ambulatorio!$M$73:$M$483,"Urgencias",Ambulatorio!$U$73:U$483,"1")</f>
        <v>0</v>
      </c>
      <c r="J71" s="27">
        <f>COUNTIFS(Ambulatorio!$M$73:$M$483,"Urgencias",Ambulatorio!$V$73:V$483,"1")</f>
        <v>0</v>
      </c>
      <c r="K71" s="27">
        <f>COUNTIFS(Ambulatorio!$M$73:$M$483,"Urgencias",Ambulatorio!$W$73:W$483,"1")</f>
        <v>0</v>
      </c>
      <c r="L71" s="27">
        <f>COUNTIFS(Ambulatorio!$M$73:$M$483,"Urgencias",Ambulatorio!$X$73:X$483,"1")</f>
        <v>0</v>
      </c>
      <c r="M71" s="27">
        <f>COUNTIFS(Ambulatorio!$M$73:$M$483,"Urgencias",Ambulatorio!$Y$73:Y$483,"1")</f>
        <v>0</v>
      </c>
      <c r="N71" s="27">
        <f>COUNTIFS(Ambulatorio!$M$73:$M$483,"Urgencias",Ambulatorio!$Z$73:Z$483,"1")</f>
        <v>0</v>
      </c>
      <c r="O71" s="27">
        <f>COUNTIFS(Ambulatorio!$M$73:$M$483,"Urgencias",Ambulatorio!$AA$73:AA$483,"1")</f>
        <v>0</v>
      </c>
      <c r="P71" s="27">
        <f>COUNTIFS(Ambulatorio!$M$73:$M$483,"Urgencias",Ambulatorio!$AB$73:AB$483,"1")</f>
        <v>0</v>
      </c>
    </row>
    <row r="72" spans="1:16">
      <c r="B72" s="25">
        <f>SUM(B64:B71)</f>
        <v>98</v>
      </c>
      <c r="C72" s="25">
        <f t="shared" ref="C72:O72" si="5">SUM(C65:C71)</f>
        <v>98</v>
      </c>
      <c r="D72" s="25">
        <f t="shared" si="5"/>
        <v>98</v>
      </c>
      <c r="E72" s="25">
        <f t="shared" si="5"/>
        <v>98</v>
      </c>
      <c r="F72" s="25">
        <f t="shared" si="5"/>
        <v>98</v>
      </c>
      <c r="G72" s="25">
        <f t="shared" si="5"/>
        <v>98</v>
      </c>
      <c r="H72" s="25">
        <f t="shared" si="5"/>
        <v>98</v>
      </c>
      <c r="I72" s="25">
        <f t="shared" si="5"/>
        <v>98</v>
      </c>
      <c r="J72" s="25">
        <f t="shared" si="5"/>
        <v>98</v>
      </c>
      <c r="K72" s="25">
        <f t="shared" si="5"/>
        <v>98</v>
      </c>
      <c r="L72" s="25">
        <f t="shared" si="5"/>
        <v>98</v>
      </c>
      <c r="M72" s="25">
        <f t="shared" si="5"/>
        <v>98</v>
      </c>
      <c r="N72" s="25">
        <f t="shared" si="5"/>
        <v>98</v>
      </c>
      <c r="O72" s="25">
        <f t="shared" si="5"/>
        <v>98</v>
      </c>
      <c r="P72" s="25">
        <f>SUM(P64:P71)</f>
        <v>98</v>
      </c>
    </row>
    <row r="74" spans="1:16">
      <c r="B74">
        <f>+B72+B60+B48+B36+B24+B12</f>
        <v>169</v>
      </c>
    </row>
    <row r="75" spans="1:16">
      <c r="B75" s="25"/>
    </row>
    <row r="77" spans="1:16" ht="35.4" customHeight="1">
      <c r="B77" s="185" t="s">
        <v>138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</row>
    <row r="78" spans="1:16" ht="52.8">
      <c r="B78" s="90" t="s">
        <v>99</v>
      </c>
      <c r="C78" s="90" t="s">
        <v>100</v>
      </c>
      <c r="D78" s="90" t="s">
        <v>101</v>
      </c>
      <c r="E78" s="90" t="s">
        <v>102</v>
      </c>
      <c r="F78" s="90" t="s">
        <v>103</v>
      </c>
      <c r="G78" s="90" t="s">
        <v>104</v>
      </c>
      <c r="H78" s="90" t="s">
        <v>105</v>
      </c>
      <c r="I78" s="90" t="s">
        <v>106</v>
      </c>
      <c r="J78" s="90" t="s">
        <v>107</v>
      </c>
      <c r="K78" s="90" t="s">
        <v>108</v>
      </c>
      <c r="L78" s="90" t="s">
        <v>109</v>
      </c>
      <c r="M78" s="90" t="s">
        <v>110</v>
      </c>
      <c r="N78" s="90" t="s">
        <v>132</v>
      </c>
      <c r="O78" s="90" t="s">
        <v>133</v>
      </c>
      <c r="P78" s="90" t="s">
        <v>134</v>
      </c>
    </row>
    <row r="79" spans="1:16" ht="17.399999999999999" customHeight="1">
      <c r="A79" s="5" t="s">
        <v>131</v>
      </c>
      <c r="B79" s="46" t="e">
        <f>(B7+B8)/B12</f>
        <v>#DIV/0!</v>
      </c>
      <c r="C79" s="46" t="e">
        <f t="shared" ref="C79:P79" si="6">(C7+C8)/C12</f>
        <v>#DIV/0!</v>
      </c>
      <c r="D79" s="46" t="e">
        <f t="shared" si="6"/>
        <v>#DIV/0!</v>
      </c>
      <c r="E79" s="46" t="e">
        <f t="shared" si="6"/>
        <v>#DIV/0!</v>
      </c>
      <c r="F79" s="46" t="e">
        <f t="shared" si="6"/>
        <v>#DIV/0!</v>
      </c>
      <c r="G79" s="46" t="e">
        <f t="shared" si="6"/>
        <v>#DIV/0!</v>
      </c>
      <c r="H79" s="46" t="e">
        <f t="shared" si="6"/>
        <v>#DIV/0!</v>
      </c>
      <c r="I79" s="46" t="e">
        <f t="shared" si="6"/>
        <v>#DIV/0!</v>
      </c>
      <c r="J79" s="46" t="e">
        <f t="shared" si="6"/>
        <v>#DIV/0!</v>
      </c>
      <c r="K79" s="46" t="e">
        <f t="shared" si="6"/>
        <v>#DIV/0!</v>
      </c>
      <c r="L79" s="46" t="e">
        <f t="shared" si="6"/>
        <v>#DIV/0!</v>
      </c>
      <c r="M79" s="46" t="e">
        <f t="shared" si="6"/>
        <v>#DIV/0!</v>
      </c>
      <c r="N79" s="46" t="e">
        <f t="shared" si="6"/>
        <v>#DIV/0!</v>
      </c>
      <c r="O79" s="46" t="e">
        <f t="shared" si="6"/>
        <v>#DIV/0!</v>
      </c>
      <c r="P79" s="46" t="e">
        <f t="shared" si="6"/>
        <v>#DIV/0!</v>
      </c>
    </row>
    <row r="80" spans="1:16" ht="15" customHeight="1">
      <c r="A80" s="5" t="s">
        <v>139</v>
      </c>
      <c r="B80" s="46">
        <f>(B19+B20)/B24</f>
        <v>1</v>
      </c>
      <c r="C80" s="46">
        <f t="shared" ref="C80:P80" si="7">(C19+C20)/C24</f>
        <v>1</v>
      </c>
      <c r="D80" s="46">
        <f t="shared" si="7"/>
        <v>1</v>
      </c>
      <c r="E80" s="46">
        <f t="shared" si="7"/>
        <v>1</v>
      </c>
      <c r="F80" s="46">
        <f t="shared" si="7"/>
        <v>1</v>
      </c>
      <c r="G80" s="46">
        <f t="shared" si="7"/>
        <v>1</v>
      </c>
      <c r="H80" s="46">
        <f t="shared" si="7"/>
        <v>1</v>
      </c>
      <c r="I80" s="46">
        <f t="shared" si="7"/>
        <v>1</v>
      </c>
      <c r="J80" s="46">
        <f t="shared" si="7"/>
        <v>1</v>
      </c>
      <c r="K80" s="46">
        <f t="shared" si="7"/>
        <v>1</v>
      </c>
      <c r="L80" s="46">
        <f t="shared" si="7"/>
        <v>1</v>
      </c>
      <c r="M80" s="46">
        <f t="shared" si="7"/>
        <v>1</v>
      </c>
      <c r="N80" s="46">
        <f t="shared" si="7"/>
        <v>1</v>
      </c>
      <c r="O80" s="46">
        <f t="shared" si="7"/>
        <v>1</v>
      </c>
      <c r="P80" s="46">
        <f t="shared" si="7"/>
        <v>1</v>
      </c>
    </row>
    <row r="81" spans="1:16">
      <c r="A81" s="77" t="s">
        <v>140</v>
      </c>
      <c r="B81" s="46">
        <f>(B31+B32)/B36</f>
        <v>1</v>
      </c>
      <c r="C81" s="46">
        <f t="shared" ref="C81:P81" si="8">(C31+C32)/C36</f>
        <v>1</v>
      </c>
      <c r="D81" s="46">
        <f t="shared" si="8"/>
        <v>1</v>
      </c>
      <c r="E81" s="46">
        <f t="shared" si="8"/>
        <v>1</v>
      </c>
      <c r="F81" s="46">
        <f t="shared" si="8"/>
        <v>1</v>
      </c>
      <c r="G81" s="46">
        <f t="shared" si="8"/>
        <v>1</v>
      </c>
      <c r="H81" s="46">
        <f t="shared" si="8"/>
        <v>1</v>
      </c>
      <c r="I81" s="46">
        <f t="shared" si="8"/>
        <v>1</v>
      </c>
      <c r="J81" s="46">
        <f t="shared" si="8"/>
        <v>1</v>
      </c>
      <c r="K81" s="46">
        <f t="shared" si="8"/>
        <v>1</v>
      </c>
      <c r="L81" s="46">
        <f t="shared" si="8"/>
        <v>1</v>
      </c>
      <c r="M81" s="46">
        <f t="shared" si="8"/>
        <v>1</v>
      </c>
      <c r="N81" s="46">
        <f t="shared" si="8"/>
        <v>1</v>
      </c>
      <c r="O81" s="46">
        <f t="shared" si="8"/>
        <v>1</v>
      </c>
      <c r="P81" s="46">
        <f t="shared" si="8"/>
        <v>1</v>
      </c>
    </row>
    <row r="82" spans="1:16">
      <c r="A82" s="77" t="s">
        <v>129</v>
      </c>
      <c r="B82" s="46" t="e">
        <f>(B42+B43)/B48</f>
        <v>#DIV/0!</v>
      </c>
      <c r="C82" s="46" t="e">
        <f t="shared" ref="C82:P82" si="9">(C42+C43)/C48</f>
        <v>#DIV/0!</v>
      </c>
      <c r="D82" s="46" t="e">
        <f t="shared" si="9"/>
        <v>#DIV/0!</v>
      </c>
      <c r="E82" s="46" t="e">
        <f t="shared" si="9"/>
        <v>#DIV/0!</v>
      </c>
      <c r="F82" s="46" t="e">
        <f t="shared" si="9"/>
        <v>#DIV/0!</v>
      </c>
      <c r="G82" s="46" t="e">
        <f t="shared" si="9"/>
        <v>#DIV/0!</v>
      </c>
      <c r="H82" s="46" t="e">
        <f t="shared" si="9"/>
        <v>#DIV/0!</v>
      </c>
      <c r="I82" s="46" t="e">
        <f t="shared" si="9"/>
        <v>#DIV/0!</v>
      </c>
      <c r="J82" s="46" t="e">
        <f t="shared" si="9"/>
        <v>#DIV/0!</v>
      </c>
      <c r="K82" s="46" t="e">
        <f t="shared" si="9"/>
        <v>#DIV/0!</v>
      </c>
      <c r="L82" s="46" t="e">
        <f t="shared" si="9"/>
        <v>#DIV/0!</v>
      </c>
      <c r="M82" s="46" t="e">
        <f t="shared" si="9"/>
        <v>#DIV/0!</v>
      </c>
      <c r="N82" s="46" t="e">
        <f t="shared" si="9"/>
        <v>#DIV/0!</v>
      </c>
      <c r="O82" s="46" t="e">
        <f t="shared" si="9"/>
        <v>#DIV/0!</v>
      </c>
      <c r="P82" s="46" t="e">
        <f t="shared" si="9"/>
        <v>#DIV/0!</v>
      </c>
    </row>
    <row r="83" spans="1:16">
      <c r="A83" s="77" t="s">
        <v>136</v>
      </c>
      <c r="B83" s="46">
        <f>(B55+B56)/B60</f>
        <v>1</v>
      </c>
      <c r="C83" s="46">
        <f t="shared" ref="C83:P83" si="10">(C55+C56)/C60</f>
        <v>1</v>
      </c>
      <c r="D83" s="46">
        <f t="shared" si="10"/>
        <v>1</v>
      </c>
      <c r="E83" s="46">
        <f t="shared" si="10"/>
        <v>0.93333333333333335</v>
      </c>
      <c r="F83" s="46">
        <f t="shared" si="10"/>
        <v>0.8</v>
      </c>
      <c r="G83" s="46">
        <f t="shared" si="10"/>
        <v>0.76666666666666672</v>
      </c>
      <c r="H83" s="46">
        <f t="shared" si="10"/>
        <v>1</v>
      </c>
      <c r="I83" s="46">
        <f t="shared" si="10"/>
        <v>1</v>
      </c>
      <c r="J83" s="46">
        <f t="shared" si="10"/>
        <v>0.76666666666666672</v>
      </c>
      <c r="K83" s="46">
        <f t="shared" si="10"/>
        <v>0.76666666666666672</v>
      </c>
      <c r="L83" s="46">
        <f t="shared" si="10"/>
        <v>0.76666666666666672</v>
      </c>
      <c r="M83" s="46">
        <f t="shared" si="10"/>
        <v>0.76666666666666672</v>
      </c>
      <c r="N83" s="46">
        <f t="shared" si="10"/>
        <v>1</v>
      </c>
      <c r="O83" s="46">
        <f t="shared" si="10"/>
        <v>0.76666666666666672</v>
      </c>
      <c r="P83" s="46">
        <f t="shared" si="10"/>
        <v>1</v>
      </c>
    </row>
    <row r="84" spans="1:16">
      <c r="A84" s="77" t="s">
        <v>137</v>
      </c>
      <c r="B84" s="46">
        <f>(B67+B68)/B72</f>
        <v>0.97959183673469385</v>
      </c>
      <c r="C84" s="46">
        <f t="shared" ref="C84:P84" si="11">(C67+C68)/C72</f>
        <v>0.97959183673469385</v>
      </c>
      <c r="D84" s="46">
        <f t="shared" si="11"/>
        <v>0.98979591836734693</v>
      </c>
      <c r="E84" s="46">
        <f t="shared" si="11"/>
        <v>0.97959183673469385</v>
      </c>
      <c r="F84" s="46">
        <f t="shared" si="11"/>
        <v>0.97959183673469385</v>
      </c>
      <c r="G84" s="46">
        <f t="shared" si="11"/>
        <v>0.97959183673469385</v>
      </c>
      <c r="H84" s="46">
        <f t="shared" si="11"/>
        <v>0.98979591836734693</v>
      </c>
      <c r="I84" s="46">
        <f t="shared" si="11"/>
        <v>0.98979591836734693</v>
      </c>
      <c r="J84" s="46">
        <f t="shared" si="11"/>
        <v>0.98979591836734693</v>
      </c>
      <c r="K84" s="46">
        <f t="shared" si="11"/>
        <v>0.98979591836734693</v>
      </c>
      <c r="L84" s="46">
        <f t="shared" si="11"/>
        <v>0.98979591836734693</v>
      </c>
      <c r="M84" s="46">
        <f t="shared" si="11"/>
        <v>0.98979591836734693</v>
      </c>
      <c r="N84" s="46">
        <f t="shared" si="11"/>
        <v>0.98979591836734693</v>
      </c>
      <c r="O84" s="46">
        <f t="shared" si="11"/>
        <v>0.97959183673469385</v>
      </c>
      <c r="P84" s="46">
        <f t="shared" si="11"/>
        <v>0.97959183673469385</v>
      </c>
    </row>
  </sheetData>
  <mergeCells count="7">
    <mergeCell ref="B62:P62"/>
    <mergeCell ref="B77:P77"/>
    <mergeCell ref="B2:P2"/>
    <mergeCell ref="B14:P14"/>
    <mergeCell ref="B26:P26"/>
    <mergeCell ref="B38:P38"/>
    <mergeCell ref="B50:P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97"/>
  <sheetViews>
    <sheetView topLeftCell="A201" workbookViewId="0">
      <selection activeCell="P87" sqref="P87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6" max="6" width="13.33203125" customWidth="1"/>
    <col min="8" max="8" width="13.33203125" customWidth="1"/>
    <col min="12" max="12" width="16.33203125" customWidth="1"/>
    <col min="13" max="13" width="12.6640625" customWidth="1"/>
    <col min="14" max="14" width="2.6640625" customWidth="1"/>
  </cols>
  <sheetData>
    <row r="2" spans="1:13" ht="35.4" customHeight="1">
      <c r="B2" s="182" t="s">
        <v>141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36">
      <c r="B3" s="91" t="s">
        <v>119</v>
      </c>
      <c r="C3" s="91" t="s">
        <v>120</v>
      </c>
      <c r="D3" s="91" t="s">
        <v>121</v>
      </c>
      <c r="E3" s="91" t="s">
        <v>122</v>
      </c>
      <c r="F3" s="91" t="s">
        <v>123</v>
      </c>
      <c r="G3" s="91" t="s">
        <v>124</v>
      </c>
      <c r="H3" s="91" t="s">
        <v>125</v>
      </c>
      <c r="I3" s="91" t="s">
        <v>126</v>
      </c>
      <c r="J3" s="91" t="s">
        <v>127</v>
      </c>
      <c r="K3" s="91" t="s">
        <v>128</v>
      </c>
      <c r="L3" s="91" t="s">
        <v>129</v>
      </c>
      <c r="M3" s="91" t="s">
        <v>130</v>
      </c>
    </row>
    <row r="4" spans="1:13" ht="14.25" customHeight="1">
      <c r="A4" s="5" t="s">
        <v>111</v>
      </c>
      <c r="B4" s="27">
        <f>COUNTIFS(Hospitalización!$M$3:$M$500,"Hospitalización General",Hospitalización!$N$3:$N$500,"8")</f>
        <v>0</v>
      </c>
      <c r="C4" s="27">
        <f>COUNTIFS(Hospitalización!$M$3:$M$500,"Hospitalización General",Hospitalización!$O$3:$O$500,"8")</f>
        <v>0</v>
      </c>
      <c r="D4" s="27">
        <f>COUNTIFS(Hospitalización!$M$3:$M$500,"Hospitalización General",Hospitalización!$P$3:$P$500,"8")</f>
        <v>0</v>
      </c>
      <c r="E4" s="27">
        <f>COUNTIFS(Hospitalización!$M$3:$M$500,"Hospitalización General",Hospitalización!$Q$3:$Q$500,"8")</f>
        <v>0</v>
      </c>
      <c r="F4" s="27">
        <f>COUNTIFS(Hospitalización!$M$3:$M$500,"Hospitalización General",Hospitalización!$R$3:$R$500,"8")</f>
        <v>0</v>
      </c>
      <c r="G4" s="27">
        <f>COUNTIFS(Hospitalización!$M$3:$M$500,"Hospitalización General",Hospitalización!$S$3:$S$500,"8")</f>
        <v>0</v>
      </c>
      <c r="H4" s="27">
        <f>COUNTIFS(Hospitalización!$M$3:$M$500,"Hospitalización General",Hospitalización!$T$3:$T$500,"8")</f>
        <v>0</v>
      </c>
      <c r="I4" s="27">
        <f>COUNTIFS(Hospitalización!$M$3:$M$500,"Hospitalización General",Hospitalización!$U$3:$U$500,"8")</f>
        <v>0</v>
      </c>
      <c r="J4" s="27">
        <f>COUNTIFS(Hospitalización!$M$3:$M$500,"Hospitalización General",Hospitalización!$V$3:$V$500,"8")</f>
        <v>0</v>
      </c>
      <c r="K4" s="27">
        <f>COUNTIFS(Hospitalización!$M$3:$M$500,"Hospitalización General",Hospitalización!$W$3:$W$500,"8")</f>
        <v>0</v>
      </c>
      <c r="L4" s="27">
        <f>COUNTIFS(Hospitalización!$M$3:$M$500,"Hospitalización General",Hospitalización!$X$3:$X$500,"8")</f>
        <v>0</v>
      </c>
      <c r="M4" s="27">
        <f>COUNTIFS(Hospitalización!$M$3:$M$500,"Hospitalización General",Hospitalización!$Y$3:$Y$500,"8")</f>
        <v>0</v>
      </c>
    </row>
    <row r="5" spans="1:13" ht="14.25" customHeight="1">
      <c r="A5" s="5" t="s">
        <v>112</v>
      </c>
      <c r="B5" s="27">
        <f>COUNTIFS(Hospitalización!$M$3:$M$500,"Hospitalización General",Hospitalización!$N$3:$N$500,"7")</f>
        <v>0</v>
      </c>
      <c r="C5" s="27">
        <f>COUNTIFS(Hospitalización!$M$3:$M$500,"Hospitalización General",Hospitalización!$O$3:$O$500,"7")</f>
        <v>0</v>
      </c>
      <c r="D5" s="27">
        <f>COUNTIFS(Hospitalización!$M$3:$M$500,"Hospitalización General",Hospitalización!$P$3:$P$500,"7")</f>
        <v>0</v>
      </c>
      <c r="E5" s="27">
        <f>COUNTIFS(Hospitalización!$M$3:$M$500,"Hospitalización General",Hospitalización!$Q$3:$Q$500,"7")</f>
        <v>0</v>
      </c>
      <c r="F5" s="27">
        <f>COUNTIFS(Hospitalización!$M$3:$M$500,"Hospitalización General",Hospitalización!$R$3:$R$500,"7")</f>
        <v>0</v>
      </c>
      <c r="G5" s="27">
        <f>COUNTIFS(Hospitalización!$M$3:$M$500,"Hospitalización General",Hospitalización!$S$3:$S$500,"7")</f>
        <v>0</v>
      </c>
      <c r="H5" s="27">
        <f>COUNTIFS(Hospitalización!$M$3:$M$500,"Hospitalización General",Hospitalización!$T$3:$T$500,"7")</f>
        <v>0</v>
      </c>
      <c r="I5" s="27">
        <f>COUNTIFS(Hospitalización!$M$3:$M$500,"Hospitalización General",Hospitalización!$U$3:$U$500,"7")</f>
        <v>0</v>
      </c>
      <c r="J5" s="27">
        <f>COUNTIFS(Hospitalización!$M$3:$M$500,"Hospitalización General",Hospitalización!$V$3:$V$500,"7")</f>
        <v>0</v>
      </c>
      <c r="K5" s="27">
        <f>COUNTIFS(Hospitalización!$M$3:$M$500,"Hospitalización General",Hospitalización!$W$3:$W$500,"7")</f>
        <v>0</v>
      </c>
      <c r="L5" s="27">
        <f>COUNTIFS(Hospitalización!$M$3:$M$500,"Hospitalización General",Hospitalización!$X$3:$X$500,"7")</f>
        <v>0</v>
      </c>
      <c r="M5" s="27">
        <f>COUNTIFS(Hospitalización!$M$3:$M$500,"Hospitalización General",Hospitalización!$Y$3:$Y$500,"7")</f>
        <v>0</v>
      </c>
    </row>
    <row r="6" spans="1:13">
      <c r="A6" s="77" t="s">
        <v>113</v>
      </c>
      <c r="B6" s="27">
        <f>COUNTIFS(Hospitalización!$M$3:$M$500,"Hospitalización General",Hospitalización!$N$3:$N$500,"6")</f>
        <v>0</v>
      </c>
      <c r="C6" s="27">
        <f>COUNTIFS(Hospitalización!$M$3:$M$500,"Hospitalización General",Hospitalización!$O$3:$O$500,"6")</f>
        <v>0</v>
      </c>
      <c r="D6" s="27">
        <f>COUNTIFS(Hospitalización!$M$3:$M$500,"Hospitalización General",Hospitalización!$P$3:$P$500,"6")</f>
        <v>0</v>
      </c>
      <c r="E6" s="27">
        <f>COUNTIFS(Hospitalización!$M$3:$M$500,"Hospitalización General",Hospitalización!$Q$3:$Q$500,"6")</f>
        <v>0</v>
      </c>
      <c r="F6" s="27">
        <f>COUNTIFS(Hospitalización!$M$3:$M$500,"Hospitalización General",Hospitalización!$R$3:$R$500,"6")</f>
        <v>0</v>
      </c>
      <c r="G6" s="27">
        <f>COUNTIFS(Hospitalización!$M$3:$M$500,"Hospitalización General",Hospitalización!$S$3:$S$500,"6")</f>
        <v>0</v>
      </c>
      <c r="H6" s="27">
        <f>COUNTIFS(Hospitalización!$M$3:$M$500,"Hospitalización General",Hospitalización!$T$3:$T$500,"6")</f>
        <v>0</v>
      </c>
      <c r="I6" s="27">
        <f>COUNTIFS(Hospitalización!$M$3:$M$500,"Hospitalización General",Hospitalización!$U$3:$U$500,"6")</f>
        <v>0</v>
      </c>
      <c r="J6" s="27">
        <f>COUNTIFS(Hospitalización!$M$3:$M$500,"Hospitalización General",Hospitalización!$V$3:$V$500,"6")</f>
        <v>0</v>
      </c>
      <c r="K6" s="27">
        <f>COUNTIFS(Hospitalización!$M$3:$M$500,"Hospitalización General",Hospitalización!$W$3:$W$500,"6")</f>
        <v>0</v>
      </c>
      <c r="L6" s="27">
        <f>COUNTIFS(Hospitalización!$M$3:$M$500,"Hospitalización General",Hospitalización!$X$3:$X$500,"6")</f>
        <v>0</v>
      </c>
      <c r="M6" s="27">
        <f>COUNTIFS(Hospitalización!$M$3:$M$500,"Hospitalización General",Hospitalización!$Y$3:$Y$500,"6")</f>
        <v>0</v>
      </c>
    </row>
    <row r="7" spans="1:13">
      <c r="A7" s="77" t="s">
        <v>114</v>
      </c>
      <c r="B7" s="27">
        <f>COUNTIFS(Hospitalización!$M$3:$M$500,"Hospitalización General",Hospitalización!$N$3:$N$500,"5")</f>
        <v>7</v>
      </c>
      <c r="C7" s="27">
        <f>COUNTIFS(Hospitalización!$M$3:$M$500,"Hospitalización General",Hospitalización!$O$3:$O$500,"5")</f>
        <v>7</v>
      </c>
      <c r="D7" s="27">
        <f>COUNTIFS(Hospitalización!$M$3:$M$500,"Hospitalización General",Hospitalización!$P$3:$P$500,"5")</f>
        <v>7</v>
      </c>
      <c r="E7" s="27">
        <f>COUNTIFS(Hospitalización!$M$3:$M$500,"Hospitalización General",Hospitalización!$Q$3:$Q$500,"5")</f>
        <v>7</v>
      </c>
      <c r="F7" s="27">
        <f>COUNTIFS(Hospitalización!$M$3:$M$500,"Hospitalización General",Hospitalización!$R$3:$R$500,"5")</f>
        <v>7</v>
      </c>
      <c r="G7" s="27">
        <f>COUNTIFS(Hospitalización!$M$3:$M$500,"Hospitalización General",Hospitalización!$S$3:$S$500,"5")</f>
        <v>7</v>
      </c>
      <c r="H7" s="27">
        <f>COUNTIFS(Hospitalización!$M$3:$M$500,"Hospitalización General",Hospitalización!$T$3:$T$500,"5")</f>
        <v>7</v>
      </c>
      <c r="I7" s="27">
        <f>COUNTIFS(Hospitalización!$M$3:$M$500,"Hospitalización General",Hospitalización!$U$3:$U$500,"5")</f>
        <v>7</v>
      </c>
      <c r="J7" s="27">
        <f>COUNTIFS(Hospitalización!$M$3:$M$500,"Hospitalización General",Hospitalización!$V$3:$V$500,"5")</f>
        <v>7</v>
      </c>
      <c r="K7" s="27">
        <f>COUNTIFS(Hospitalización!$M$3:$M$500,"Hospitalización General",Hospitalización!$W$3:$W$500,"5")</f>
        <v>7</v>
      </c>
      <c r="L7" s="27">
        <f>COUNTIFS(Hospitalización!$M$3:$M$500,"Hospitalización General",Hospitalización!$X$3:$X$500,"5")</f>
        <v>7</v>
      </c>
      <c r="M7" s="27">
        <f>COUNTIFS(Hospitalización!$M$3:$M$500,"Hospitalización General",Hospitalización!$Y$3:$Y$500,"5")</f>
        <v>7</v>
      </c>
    </row>
    <row r="8" spans="1:13">
      <c r="A8" s="77" t="s">
        <v>115</v>
      </c>
      <c r="B8" s="27">
        <f>COUNTIFS(Hospitalización!$M$3:$M$500,"Hospitalización General",Hospitalización!$N$3:$N$500,"4")</f>
        <v>0</v>
      </c>
      <c r="C8" s="27">
        <f>COUNTIFS(Hospitalización!$M$3:$M$500,"Hospitalización General",Hospitalización!$O$3:$O$500,"4")</f>
        <v>0</v>
      </c>
      <c r="D8" s="27">
        <f>COUNTIFS(Hospitalización!$M$3:$M$500,"Hospitalización General",Hospitalización!$P$3:$P$500,"4")</f>
        <v>0</v>
      </c>
      <c r="E8" s="27">
        <f>COUNTIFS(Hospitalización!$M$3:$M$500,"Hospitalización General",Hospitalización!$Q$3:$Q$500,"4")</f>
        <v>0</v>
      </c>
      <c r="F8" s="27">
        <f>COUNTIFS(Hospitalización!$M$3:$M$500,"Hospitalización General",Hospitalización!$R$3:$R$500,"4")</f>
        <v>0</v>
      </c>
      <c r="G8" s="27">
        <f>COUNTIFS(Hospitalización!$M$3:$M$500,"Hospitalización General",Hospitalización!$S$3:$S$500,"4")</f>
        <v>0</v>
      </c>
      <c r="H8" s="27">
        <f>COUNTIFS(Hospitalización!$M$3:$M$500,"Hospitalización General",Hospitalización!$T$3:$T$500,"4")</f>
        <v>0</v>
      </c>
      <c r="I8" s="27">
        <f>COUNTIFS(Hospitalización!$M$3:$M$500,"Hospitalización General",Hospitalización!$U$3:$U$500,"4")</f>
        <v>0</v>
      </c>
      <c r="J8" s="27">
        <f>COUNTIFS(Hospitalización!$M$3:$M$500,"Hospitalización General",Hospitalización!$V$3:$V$500,"4")</f>
        <v>0</v>
      </c>
      <c r="K8" s="27">
        <f>COUNTIFS(Hospitalización!$M$3:$M$500,"Hospitalización General",Hospitalización!$W$3:$W$500,"4")</f>
        <v>0</v>
      </c>
      <c r="L8" s="27">
        <f>COUNTIFS(Hospitalización!$M$3:$M$500,"Hospitalización General",Hospitalización!$X$3:$X$500,"4")</f>
        <v>0</v>
      </c>
      <c r="M8" s="27">
        <f>COUNTIFS(Hospitalización!$M$3:$M$500,"Hospitalización General",Hospitalización!$Y$3:$Y$500,"4")</f>
        <v>0</v>
      </c>
    </row>
    <row r="9" spans="1:13">
      <c r="A9" s="77" t="s">
        <v>116</v>
      </c>
      <c r="B9" s="27">
        <f>COUNTIFS(Hospitalización!$M$3:$M$500,"Hospitalización General",Hospitalización!$N$3:$N$500,"3")</f>
        <v>0</v>
      </c>
      <c r="C9" s="27">
        <f>COUNTIFS(Hospitalización!$M$3:$M$500,"Hospitalización General",Hospitalización!$O$3:$O$500,"3")</f>
        <v>0</v>
      </c>
      <c r="D9" s="27">
        <f>COUNTIFS(Hospitalización!$M$3:$M$500,"Hospitalización General",Hospitalización!$P$3:$P$500,"3")</f>
        <v>0</v>
      </c>
      <c r="E9" s="27">
        <f>COUNTIFS(Hospitalización!$M$3:$M$500,"Hospitalización General",Hospitalización!$Q$3:$Q$500,"3")</f>
        <v>0</v>
      </c>
      <c r="F9" s="27">
        <f>COUNTIFS(Hospitalización!$M$3:$M$500,"Hospitalización General",Hospitalización!$R$3:$R$500,"3")</f>
        <v>0</v>
      </c>
      <c r="G9" s="27">
        <f>COUNTIFS(Hospitalización!$M$3:$M$500,"Hospitalización General",Hospitalización!$S$3:$S$500,"3")</f>
        <v>0</v>
      </c>
      <c r="H9" s="27">
        <f>COUNTIFS(Hospitalización!$M$3:$M$500,"Hospitalización General",Hospitalización!$T$3:$T$500,"3")</f>
        <v>0</v>
      </c>
      <c r="I9" s="27">
        <f>COUNTIFS(Hospitalización!$M$3:$M$500,"Hospitalización General",Hospitalización!$U$3:$U$500,"3")</f>
        <v>0</v>
      </c>
      <c r="J9" s="27">
        <f>COUNTIFS(Hospitalización!$M$3:$M$500,"Hospitalización General",Hospitalización!$V$3:$V$500,"3")</f>
        <v>0</v>
      </c>
      <c r="K9" s="27">
        <f>COUNTIFS(Hospitalización!$M$3:$M$500,"Hospitalización General",Hospitalización!$W$3:$W$500,"3")</f>
        <v>0</v>
      </c>
      <c r="L9" s="27">
        <f>COUNTIFS(Hospitalización!$M$3:$M$500,"Hospitalización General",Hospitalización!$X$3:$X$500,"3")</f>
        <v>0</v>
      </c>
      <c r="M9" s="27">
        <f>COUNTIFS(Hospitalización!$M$3:$M$500,"Hospitalización General",Hospitalización!$Y$3:$Y$500,"3")</f>
        <v>0</v>
      </c>
    </row>
    <row r="10" spans="1:13">
      <c r="A10" s="77" t="s">
        <v>117</v>
      </c>
      <c r="B10" s="27">
        <f>COUNTIFS(Hospitalización!$M$3:$M$500,"Hospitalización General",Hospitalización!$N$3:$N$500,"2")</f>
        <v>0</v>
      </c>
      <c r="C10" s="27">
        <f>COUNTIFS(Hospitalización!$M$3:$M$500,"Hospitalización General",Hospitalización!$O$3:$O$500,"2")</f>
        <v>0</v>
      </c>
      <c r="D10" s="27">
        <f>COUNTIFS(Hospitalización!$M$3:$M$500,"Hospitalización General",Hospitalización!$P$3:$P$500,"2")</f>
        <v>0</v>
      </c>
      <c r="E10" s="27">
        <f>COUNTIFS(Hospitalización!$M$3:$M$500,"Hospitalización General",Hospitalización!$Q$3:$Q$500,"2")</f>
        <v>0</v>
      </c>
      <c r="F10" s="27">
        <f>COUNTIFS(Hospitalización!$M$3:$M$500,"Hospitalización General",Hospitalización!$R$3:$R$500,"2")</f>
        <v>0</v>
      </c>
      <c r="G10" s="27">
        <f>COUNTIFS(Hospitalización!$M$3:$M$500,"Hospitalización General",Hospitalización!$S$3:$S$500,"2")</f>
        <v>0</v>
      </c>
      <c r="H10" s="27">
        <f>COUNTIFS(Hospitalización!$M$3:$M$500,"Hospitalización General",Hospitalización!$T$3:$T$500,"2")</f>
        <v>0</v>
      </c>
      <c r="I10" s="27">
        <f>COUNTIFS(Hospitalización!$M$3:$M$500,"Hospitalización General",Hospitalización!$U$3:$U$500,"2")</f>
        <v>0</v>
      </c>
      <c r="J10" s="27">
        <f>COUNTIFS(Hospitalización!$M$3:$M$500,"Hospitalización General",Hospitalización!$V$3:$V$500,"2")</f>
        <v>0</v>
      </c>
      <c r="K10" s="27">
        <f>COUNTIFS(Hospitalización!$M$3:$M$500,"Hospitalización General",Hospitalización!$W$3:$W$500,"2")</f>
        <v>0</v>
      </c>
      <c r="L10" s="27">
        <f>COUNTIFS(Hospitalización!$M$3:$M$500,"Hospitalización General",Hospitalización!$X$3:$X$500,"2")</f>
        <v>0</v>
      </c>
      <c r="M10" s="27">
        <f>COUNTIFS(Hospitalización!$M$3:$M$500,"Hospitalización General",Hospitalización!$Y$3:$Y$500,"2")</f>
        <v>0</v>
      </c>
    </row>
    <row r="11" spans="1:13">
      <c r="A11" s="77" t="s">
        <v>118</v>
      </c>
      <c r="B11" s="27">
        <f>COUNTIFS(Hospitalización!$M$3:$M$500,"Hospitalización General",Hospitalización!$N$3:$N$500,"1")</f>
        <v>0</v>
      </c>
      <c r="C11" s="27">
        <f>COUNTIFS(Hospitalización!$M$3:$M$500,"Hospitalización General",Hospitalización!$O$3:$O$500,"1")</f>
        <v>0</v>
      </c>
      <c r="D11" s="27">
        <f>COUNTIFS(Hospitalización!$M$3:$M$500,"Hospitalización General",Hospitalización!$P$3:$P$500,"1")</f>
        <v>0</v>
      </c>
      <c r="E11" s="27">
        <f>COUNTIFS(Hospitalización!$M$3:$M$500,"Hospitalización General",Hospitalización!$Q$3:$Q$500,"1")</f>
        <v>0</v>
      </c>
      <c r="F11" s="27">
        <f>COUNTIFS(Hospitalización!$M$3:$M$500,"Hospitalización General",Hospitalización!$R$3:$R$500,"1")</f>
        <v>0</v>
      </c>
      <c r="G11" s="27">
        <f>COUNTIFS(Hospitalización!$M$3:$M$500,"Hospitalización General",Hospitalización!$S$3:$S$500,"1")</f>
        <v>0</v>
      </c>
      <c r="H11" s="27">
        <f>COUNTIFS(Hospitalización!$M$3:$M$500,"Hospitalización General",Hospitalización!$T$3:$T$500,"1")</f>
        <v>0</v>
      </c>
      <c r="I11" s="27">
        <f>COUNTIFS(Hospitalización!$M$3:$M$500,"Hospitalización General",Hospitalización!$U$3:$U$500,"1")</f>
        <v>0</v>
      </c>
      <c r="J11" s="27">
        <f>COUNTIFS(Hospitalización!$M$3:$M$500,"Hospitalización General",Hospitalización!$V$3:$V$500,"1")</f>
        <v>0</v>
      </c>
      <c r="K11" s="27">
        <f>COUNTIFS(Hospitalización!$M$3:$M$500,"Hospitalización General",Hospitalización!$W$3:$W$500,"1")</f>
        <v>0</v>
      </c>
      <c r="L11" s="27">
        <f>COUNTIFS(Hospitalización!$M$3:$M$500,"Hospitalización General",Hospitalización!$X$3:$X$500,"1")</f>
        <v>0</v>
      </c>
      <c r="M11" s="27">
        <f>COUNTIFS(Hospitalización!$M$3:$M$500,"Hospitalización General",Hospitalización!$Y$3:$Y$500,"1")</f>
        <v>0</v>
      </c>
    </row>
    <row r="12" spans="1:13">
      <c r="B12" s="25">
        <f>SUM(B4:B11)</f>
        <v>7</v>
      </c>
      <c r="C12" s="25">
        <f t="shared" ref="C12:M12" si="0">SUM(C5:C11)</f>
        <v>7</v>
      </c>
      <c r="D12" s="25">
        <f t="shared" si="0"/>
        <v>7</v>
      </c>
      <c r="E12" s="25">
        <f t="shared" si="0"/>
        <v>7</v>
      </c>
      <c r="F12" s="25">
        <f t="shared" si="0"/>
        <v>7</v>
      </c>
      <c r="G12" s="25">
        <f t="shared" si="0"/>
        <v>7</v>
      </c>
      <c r="H12" s="25">
        <f t="shared" si="0"/>
        <v>7</v>
      </c>
      <c r="I12" s="25">
        <f t="shared" si="0"/>
        <v>7</v>
      </c>
      <c r="J12" s="25">
        <f t="shared" si="0"/>
        <v>7</v>
      </c>
      <c r="K12" s="25">
        <f t="shared" si="0"/>
        <v>7</v>
      </c>
      <c r="L12" s="25">
        <f t="shared" si="0"/>
        <v>7</v>
      </c>
      <c r="M12" s="25">
        <f t="shared" si="0"/>
        <v>7</v>
      </c>
    </row>
    <row r="14" spans="1:13" ht="35.4" customHeight="1">
      <c r="B14" s="186" t="s">
        <v>142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13" ht="36">
      <c r="B15" s="91" t="s">
        <v>119</v>
      </c>
      <c r="C15" s="91" t="s">
        <v>120</v>
      </c>
      <c r="D15" s="91" t="s">
        <v>121</v>
      </c>
      <c r="E15" s="91" t="s">
        <v>122</v>
      </c>
      <c r="F15" s="91" t="s">
        <v>123</v>
      </c>
      <c r="G15" s="91" t="s">
        <v>124</v>
      </c>
      <c r="H15" s="91" t="s">
        <v>125</v>
      </c>
      <c r="I15" s="91" t="s">
        <v>126</v>
      </c>
      <c r="J15" s="91" t="s">
        <v>127</v>
      </c>
      <c r="K15" s="91" t="s">
        <v>128</v>
      </c>
      <c r="L15" s="91" t="s">
        <v>129</v>
      </c>
      <c r="M15" s="91" t="s">
        <v>130</v>
      </c>
    </row>
    <row r="16" spans="1:13">
      <c r="A16" s="5" t="s">
        <v>111</v>
      </c>
      <c r="B16" s="27">
        <f>COUNTIFS(Hospitalización!$M$3:$M$500,"Hospitalización Ginecología",Hospitalización!$N$3:$N$500,"8")</f>
        <v>0</v>
      </c>
      <c r="C16" s="27">
        <f>COUNTIFS(Hospitalización!$M$3:$M$500,"Hospitalización Ginecología",Hospitalización!$O$3:$O$500,"8")</f>
        <v>0</v>
      </c>
      <c r="D16" s="27">
        <f>COUNTIFS(Hospitalización!$M$3:$M$500,"Hospitalización Ginecología",Hospitalización!$P$3:$P$500,"8")</f>
        <v>0</v>
      </c>
      <c r="E16" s="27">
        <f>COUNTIFS(Hospitalización!$M$3:$M$500,"Hospitalización Ginecología",Hospitalización!$Q$3:$Q$500,"8")</f>
        <v>0</v>
      </c>
      <c r="F16" s="27">
        <f>COUNTIFS(Hospitalización!$M$3:$M$500,"Hospitalización Ginecología",Hospitalización!$R$3:$R$500,"8")</f>
        <v>0</v>
      </c>
      <c r="G16" s="27">
        <f>COUNTIFS(Hospitalización!$M$3:$M$500,"Hospitalización Ginecología",Hospitalización!$S$3:$S$500,"8")</f>
        <v>0</v>
      </c>
      <c r="H16" s="27">
        <f>COUNTIFS(Hospitalización!$M$3:$M$500,"Hospitalización Ginecología",Hospitalización!$T$3:$T$500,"8")</f>
        <v>0</v>
      </c>
      <c r="I16" s="27">
        <f>COUNTIFS(Hospitalización!$M$3:$M$500,"Hospitalización Ginecología",Hospitalización!$U$3:$U$500,"8")</f>
        <v>0</v>
      </c>
      <c r="J16" s="27">
        <f>COUNTIFS(Hospitalización!$M$3:$M$500,"Hospitalización Ginecología",Hospitalización!$V$3:$V$500,"8")</f>
        <v>0</v>
      </c>
      <c r="K16" s="27">
        <f>COUNTIFS(Hospitalización!$M$3:$M$500,"Hospitalización Ginecología",Hospitalización!$W$3:$W$500,"8")</f>
        <v>0</v>
      </c>
      <c r="L16" s="27">
        <f>COUNTIFS(Hospitalización!$M$3:$M$500,"Hospitalización Ginecología",Hospitalización!$X$3:$X$500,"8")</f>
        <v>0</v>
      </c>
      <c r="M16" s="27">
        <f>COUNTIFS(Hospitalización!$M$3:$M$500,"Hospitalización Ginecología",Hospitalización!$Y$3:$Y$500,"8")</f>
        <v>0</v>
      </c>
    </row>
    <row r="17" spans="1:13">
      <c r="A17" s="5" t="s">
        <v>112</v>
      </c>
      <c r="B17" s="27">
        <f>COUNTIFS(Hospitalización!$M$3:$M$500,"Hospitalización Ginecología",Hospitalización!$N$3:$N$500,"7")</f>
        <v>0</v>
      </c>
      <c r="C17" s="27">
        <f>COUNTIFS(Hospitalización!$M$3:$M$500,"Hospitalización Ginecología",Hospitalización!$O$3:$O$500,"7")</f>
        <v>0</v>
      </c>
      <c r="D17" s="27">
        <f>COUNTIFS(Hospitalización!$M$3:$M$500,"Hospitalización Ginecología",Hospitalización!$P$3:$P$500,"7")</f>
        <v>0</v>
      </c>
      <c r="E17" s="27">
        <f>COUNTIFS(Hospitalización!$M$3:$M$500,"Hospitalización Ginecología",Hospitalización!$Q$3:$Q$500,"7")</f>
        <v>0</v>
      </c>
      <c r="F17" s="27">
        <f>COUNTIFS(Hospitalización!$M$3:$M$500,"Hospitalización Ginecología",Hospitalización!$R$3:$R$500,"7")</f>
        <v>0</v>
      </c>
      <c r="G17" s="27">
        <f>COUNTIFS(Hospitalización!$M$3:$M$500,"Hospitalización Ginecología",Hospitalización!$S$3:$S$500,"7")</f>
        <v>0</v>
      </c>
      <c r="H17" s="27">
        <f>COUNTIFS(Hospitalización!$M$3:$M$500,"Hospitalización Ginecología",Hospitalización!$T$3:$T$500,"7")</f>
        <v>0</v>
      </c>
      <c r="I17" s="27">
        <f>COUNTIFS(Hospitalización!$M$3:$M$500,"Hospitalización Ginecología",Hospitalización!$U$3:$U$500,"7")</f>
        <v>0</v>
      </c>
      <c r="J17" s="27">
        <f>COUNTIFS(Hospitalización!$M$3:$M$500,"Hospitalización Ginecología",Hospitalización!$V$3:$V$500,"7")</f>
        <v>0</v>
      </c>
      <c r="K17" s="27">
        <f>COUNTIFS(Hospitalización!$M$3:$M$500,"Hospitalización Ginecología",Hospitalización!$W$3:$W$500,"7")</f>
        <v>0</v>
      </c>
      <c r="L17" s="27">
        <f>COUNTIFS(Hospitalización!$M$3:$M$500,"Hospitalización Ginecología",Hospitalización!$X$3:$X$500,"7")</f>
        <v>0</v>
      </c>
      <c r="M17" s="27">
        <f>COUNTIFS(Hospitalización!$M$3:$M$500,"Hospitalización Ginecología",Hospitalización!$Y$3:$Y$500,"7")</f>
        <v>0</v>
      </c>
    </row>
    <row r="18" spans="1:13">
      <c r="A18" s="77" t="s">
        <v>113</v>
      </c>
      <c r="B18" s="27">
        <f>COUNTIFS(Hospitalización!$M$3:$M$500,"Hospitalización Ginecología",Hospitalización!$N$3:$N$500,"6")</f>
        <v>0</v>
      </c>
      <c r="C18" s="27">
        <f>COUNTIFS(Hospitalización!$M$3:$M$500,"Hospitalización Ginecología",Hospitalización!$O$3:$O$500,"6")</f>
        <v>0</v>
      </c>
      <c r="D18" s="27">
        <f>COUNTIFS(Hospitalización!$M$3:$M$500,"Hospitalización Ginecología",Hospitalización!$P$3:$P$500,"6")</f>
        <v>0</v>
      </c>
      <c r="E18" s="27">
        <f>COUNTIFS(Hospitalización!$M$3:$M$500,"Hospitalización Ginecología",Hospitalización!$Q$3:$Q$500,"6")</f>
        <v>0</v>
      </c>
      <c r="F18" s="27">
        <f>COUNTIFS(Hospitalización!$M$3:$M$500,"Hospitalización Ginecología",Hospitalización!$R$3:$R$500,"6")</f>
        <v>0</v>
      </c>
      <c r="G18" s="27">
        <f>COUNTIFS(Hospitalización!$M$3:$M$500,"Hospitalización Ginecología",Hospitalización!$S$3:$S$500,"6")</f>
        <v>0</v>
      </c>
      <c r="H18" s="27">
        <f>COUNTIFS(Hospitalización!$M$3:$M$500,"Hospitalización Ginecología",Hospitalización!$T$3:$T$500,"6")</f>
        <v>0</v>
      </c>
      <c r="I18" s="27">
        <f>COUNTIFS(Hospitalización!$M$3:$M$500,"Hospitalización Ginecología",Hospitalización!$U$3:$U$500,"6")</f>
        <v>0</v>
      </c>
      <c r="J18" s="27">
        <f>COUNTIFS(Hospitalización!$M$3:$M$500,"Hospitalización Ginecología",Hospitalización!$V$3:$V$500,"6")</f>
        <v>0</v>
      </c>
      <c r="K18" s="27">
        <f>COUNTIFS(Hospitalización!$M$3:$M$500,"Hospitalización Ginecología",Hospitalización!$W$3:$W$500,"6")</f>
        <v>0</v>
      </c>
      <c r="L18" s="27">
        <f>COUNTIFS(Hospitalización!$M$3:$M$500,"Hospitalización Ginecología",Hospitalización!$X$3:$X$500,"6")</f>
        <v>2</v>
      </c>
      <c r="M18" s="27">
        <f>COUNTIFS(Hospitalización!$M$3:$M$500,"Hospitalización Ginecología",Hospitalización!$Y$3:$Y$500,"6")</f>
        <v>0</v>
      </c>
    </row>
    <row r="19" spans="1:13">
      <c r="A19" s="77" t="s">
        <v>114</v>
      </c>
      <c r="B19" s="27">
        <f>COUNTIFS(Hospitalización!$M$3:$M$500,"Hospitalización Ginecología",Hospitalización!$N$3:$N$500,"5")</f>
        <v>7</v>
      </c>
      <c r="C19" s="27">
        <f>COUNTIFS(Hospitalización!$M$3:$M$500,"Hospitalización Ginecología",Hospitalización!$O$3:$O$500,"5")</f>
        <v>7</v>
      </c>
      <c r="D19" s="27">
        <f>COUNTIFS(Hospitalización!$M$3:$M$500,"Hospitalización Ginecología",Hospitalización!$P$3:$P$500,"5")</f>
        <v>7</v>
      </c>
      <c r="E19" s="27">
        <f>COUNTIFS(Hospitalización!$M$3:$M$500,"Hospitalización Ginecología",Hospitalización!$Q$3:$Q$500,"5")</f>
        <v>7</v>
      </c>
      <c r="F19" s="27">
        <f>COUNTIFS(Hospitalización!$M$3:$M$500,"Hospitalización Ginecología",Hospitalización!$R$3:$R$500,"5")</f>
        <v>7</v>
      </c>
      <c r="G19" s="27">
        <f>COUNTIFS(Hospitalización!$M$3:$M$500,"Hospitalización Ginecología",Hospitalización!$S$3:$S$500,"5")</f>
        <v>7</v>
      </c>
      <c r="H19" s="27">
        <f>COUNTIFS(Hospitalización!$M$3:$M$500,"Hospitalización Ginecología",Hospitalización!$T$3:$T$500,"5")</f>
        <v>7</v>
      </c>
      <c r="I19" s="27">
        <f>COUNTIFS(Hospitalización!$M$3:$M$500,"Hospitalización Ginecología",Hospitalización!$U$3:$U$500,"5")</f>
        <v>7</v>
      </c>
      <c r="J19" s="27">
        <f>COUNTIFS(Hospitalización!$M$3:$M$500,"Hospitalización Ginecología",Hospitalización!$V$3:$V$500,"5")</f>
        <v>7</v>
      </c>
      <c r="K19" s="27">
        <f>COUNTIFS(Hospitalización!$M$3:$M$500,"Hospitalización Ginecología",Hospitalización!$W$3:$W$500,"5")</f>
        <v>7</v>
      </c>
      <c r="L19" s="27">
        <f>COUNTIFS(Hospitalización!$M$3:$M$500,"Hospitalización Ginecología",Hospitalización!$X$3:$X$500,"5")</f>
        <v>5</v>
      </c>
      <c r="M19" s="27">
        <f>COUNTIFS(Hospitalización!$M$3:$M$500,"Hospitalización Ginecología",Hospitalización!$Y$3:$Y$500,"5")</f>
        <v>7</v>
      </c>
    </row>
    <row r="20" spans="1:13">
      <c r="A20" s="77" t="s">
        <v>115</v>
      </c>
      <c r="B20" s="27">
        <f>COUNTIFS(Hospitalización!$M$3:$M$500,"Hospitalización Ginecología",Hospitalización!$N$3:$N$500,"4")</f>
        <v>0</v>
      </c>
      <c r="C20" s="27">
        <f>COUNTIFS(Hospitalización!$M$3:$M$500,"Hospitalización Ginecología",Hospitalización!$O$3:$O$500,"4")</f>
        <v>0</v>
      </c>
      <c r="D20" s="27">
        <f>COUNTIFS(Hospitalización!$M$3:$M$500,"Hospitalización Ginecología",Hospitalización!$P$3:$P$500,"4")</f>
        <v>0</v>
      </c>
      <c r="E20" s="27">
        <f>COUNTIFS(Hospitalización!$M$3:$M$500,"Hospitalización Ginecología",Hospitalización!$Q$3:$Q$500,"4")</f>
        <v>0</v>
      </c>
      <c r="F20" s="27">
        <f>COUNTIFS(Hospitalización!$M$3:$M$500,"Hospitalización Ginecología",Hospitalización!$R$3:$R$500,"4")</f>
        <v>0</v>
      </c>
      <c r="G20" s="27">
        <f>COUNTIFS(Hospitalización!$M$3:$M$500,"Hospitalización Ginecología",Hospitalización!$S$3:$S$500,"4")</f>
        <v>0</v>
      </c>
      <c r="H20" s="27">
        <f>COUNTIFS(Hospitalización!$M$3:$M$500,"Hospitalización Ginecología",Hospitalización!$T$3:$T$500,"4")</f>
        <v>0</v>
      </c>
      <c r="I20" s="27">
        <f>COUNTIFS(Hospitalización!$M$3:$M$500,"Hospitalización Ginecología",Hospitalización!$U$3:$U$500,"4")</f>
        <v>0</v>
      </c>
      <c r="J20" s="27">
        <f>COUNTIFS(Hospitalización!$M$3:$M$500,"Hospitalización Ginecología",Hospitalización!$V$3:$V$500,"4")</f>
        <v>0</v>
      </c>
      <c r="K20" s="27">
        <f>COUNTIFS(Hospitalización!$M$3:$M$500,"Hospitalización Ginecología",Hospitalización!$W$3:$W$500,"4")</f>
        <v>0</v>
      </c>
      <c r="L20" s="27">
        <f>COUNTIFS(Hospitalización!$M$3:$M$500,"Hospitalización Ginecología",Hospitalización!$X$3:$X$500,"4")</f>
        <v>0</v>
      </c>
      <c r="M20" s="27">
        <f>COUNTIFS(Hospitalización!$M$3:$M$500,"Hospitalización Ginecología",Hospitalización!$Y$3:$Y$500,"4")</f>
        <v>0</v>
      </c>
    </row>
    <row r="21" spans="1:13">
      <c r="A21" s="77" t="s">
        <v>116</v>
      </c>
      <c r="B21" s="27">
        <f>COUNTIFS(Hospitalización!$M$3:$M$500,"Hospitalización Ginecología",Hospitalización!$N$3:$N$500,"3")</f>
        <v>0</v>
      </c>
      <c r="C21" s="27">
        <f>COUNTIFS(Hospitalización!$M$3:$M$500,"Hospitalización Ginecología",Hospitalización!$O$3:$O$500,"3")</f>
        <v>0</v>
      </c>
      <c r="D21" s="27">
        <f>COUNTIFS(Hospitalización!$M$3:$M$500,"Hospitalización Ginecología",Hospitalización!$P$3:$P$500,"3")</f>
        <v>0</v>
      </c>
      <c r="E21" s="27">
        <f>COUNTIFS(Hospitalización!$M$3:$M$500,"Hospitalización Ginecología",Hospitalización!$Q$3:$Q$500,"3")</f>
        <v>0</v>
      </c>
      <c r="F21" s="27">
        <f>COUNTIFS(Hospitalización!$M$3:$M$500,"Hospitalización Ginecología",Hospitalización!$R$3:$R$500,"3")</f>
        <v>0</v>
      </c>
      <c r="G21" s="27">
        <f>COUNTIFS(Hospitalización!$M$3:$M$500,"Hospitalización Ginecología",Hospitalización!$S$3:$S$500,"3")</f>
        <v>0</v>
      </c>
      <c r="H21" s="27">
        <f>COUNTIFS(Hospitalización!$M$3:$M$500,"Hospitalización Ginecología",Hospitalización!$T$3:$T$500,"3")</f>
        <v>0</v>
      </c>
      <c r="I21" s="27">
        <f>COUNTIFS(Hospitalización!$M$3:$M$500,"Hospitalización Ginecología",Hospitalización!$U$3:$U$500,"3")</f>
        <v>0</v>
      </c>
      <c r="J21" s="27">
        <f>COUNTIFS(Hospitalización!$M$3:$M$500,"Hospitalización Ginecología",Hospitalización!$V$3:$V$500,"3")</f>
        <v>0</v>
      </c>
      <c r="K21" s="27">
        <f>COUNTIFS(Hospitalización!$M$3:$M$500,"Hospitalización Ginecología",Hospitalización!$W$3:$W$500,"3")</f>
        <v>0</v>
      </c>
      <c r="L21" s="27">
        <f>COUNTIFS(Hospitalización!$M$3:$M$500,"Hospitalización Ginecología",Hospitalización!$X$3:$X$500,"3")</f>
        <v>0</v>
      </c>
      <c r="M21" s="27">
        <f>COUNTIFS(Hospitalización!$M$3:$M$500,"Hospitalización Ginecología",Hospitalización!$Y$3:$Y$500,"3")</f>
        <v>0</v>
      </c>
    </row>
    <row r="22" spans="1:13">
      <c r="A22" s="77" t="s">
        <v>117</v>
      </c>
      <c r="B22" s="27">
        <f>COUNTIFS(Hospitalización!$M$3:$M$500,"Hospitalización Ginecología",Hospitalización!$N$3:$N$500,"2")</f>
        <v>0</v>
      </c>
      <c r="C22" s="27">
        <f>COUNTIFS(Hospitalización!$M$3:$M$500,"Hospitalización Ginecología",Hospitalización!$O$3:$O$500,"2")</f>
        <v>0</v>
      </c>
      <c r="D22" s="27">
        <f>COUNTIFS(Hospitalización!$M$3:$M$500,"Hospitalización Ginecología",Hospitalización!$P$3:$P$500,"2")</f>
        <v>0</v>
      </c>
      <c r="E22" s="27">
        <f>COUNTIFS(Hospitalización!$M$3:$M$500,"Hospitalización Ginecología",Hospitalización!$Q$3:$Q$500,"2")</f>
        <v>0</v>
      </c>
      <c r="F22" s="27">
        <f>COUNTIFS(Hospitalización!$M$3:$M$500,"Hospitalización Ginecología",Hospitalización!$R$3:$R$500,"2")</f>
        <v>0</v>
      </c>
      <c r="G22" s="27">
        <f>COUNTIFS(Hospitalización!$M$3:$M$500,"Hospitalización Ginecología",Hospitalización!$S$3:$S$500,"2")</f>
        <v>0</v>
      </c>
      <c r="H22" s="27">
        <f>COUNTIFS(Hospitalización!$M$3:$M$500,"Hospitalización Ginecología",Hospitalización!$T$3:$T$500,"2")</f>
        <v>0</v>
      </c>
      <c r="I22" s="27">
        <f>COUNTIFS(Hospitalización!$M$3:$M$500,"Hospitalización Ginecología",Hospitalización!$U$3:$U$500,"2")</f>
        <v>0</v>
      </c>
      <c r="J22" s="27">
        <f>COUNTIFS(Hospitalización!$M$3:$M$500,"Hospitalización Ginecología",Hospitalización!$V$3:$V$500,"2")</f>
        <v>0</v>
      </c>
      <c r="K22" s="27">
        <f>COUNTIFS(Hospitalización!$M$3:$M$500,"Hospitalización Ginecología",Hospitalización!$W$3:$W$500,"2")</f>
        <v>0</v>
      </c>
      <c r="L22" s="27">
        <f>COUNTIFS(Hospitalización!$M$3:$M$500,"Hospitalización Ginecología",Hospitalización!$X$3:$X$500,"2")</f>
        <v>0</v>
      </c>
      <c r="M22" s="27">
        <f>COUNTIFS(Hospitalización!$M$3:$M$500,"Hospitalización Ginecología",Hospitalización!$Y$3:$Y$500,"2")</f>
        <v>0</v>
      </c>
    </row>
    <row r="23" spans="1:13">
      <c r="A23" s="77" t="s">
        <v>118</v>
      </c>
      <c r="B23" s="27">
        <f>COUNTIFS(Hospitalización!$M$3:$M$500,"Hospitalización Ginecología",Hospitalización!$N$3:$N$500,"1")</f>
        <v>0</v>
      </c>
      <c r="C23" s="27">
        <f>COUNTIFS(Hospitalización!$M$3:$M$500,"Hospitalización Ginecología",Hospitalización!$O$3:$O$500,"1")</f>
        <v>0</v>
      </c>
      <c r="D23" s="27">
        <f>COUNTIFS(Hospitalización!$M$3:$M$500,"Hospitalización Ginecología",Hospitalización!$P$3:$P$500,"1")</f>
        <v>0</v>
      </c>
      <c r="E23" s="27">
        <f>COUNTIFS(Hospitalización!$M$3:$M$500,"Hospitalización Ginecología",Hospitalización!$Q$3:$Q$500,"1")</f>
        <v>0</v>
      </c>
      <c r="F23" s="27">
        <f>COUNTIFS(Hospitalización!$M$3:$M$500,"Hospitalización Ginecología",Hospitalización!$R$3:$R$500,"1")</f>
        <v>0</v>
      </c>
      <c r="G23" s="27">
        <f>COUNTIFS(Hospitalización!$M$3:$M$500,"Hospitalización Ginecología",Hospitalización!$S$3:$S$500,"1")</f>
        <v>0</v>
      </c>
      <c r="H23" s="27">
        <f>COUNTIFS(Hospitalización!$M$3:$M$500,"Hospitalización Ginecología",Hospitalización!$T$3:$T$500,"1")</f>
        <v>0</v>
      </c>
      <c r="I23" s="27">
        <f>COUNTIFS(Hospitalización!$M$3:$M$500,"Hospitalización Ginecología",Hospitalización!$U$3:$U$500,"1")</f>
        <v>0</v>
      </c>
      <c r="J23" s="27">
        <f>COUNTIFS(Hospitalización!$M$3:$M$500,"Hospitalización Ginecología",Hospitalización!$V$3:$V$500,"1")</f>
        <v>0</v>
      </c>
      <c r="K23" s="27">
        <f>COUNTIFS(Hospitalización!$M$3:$M$500,"Hospitalización Ginecología",Hospitalización!$W$3:$W$500,"1")</f>
        <v>0</v>
      </c>
      <c r="L23" s="27">
        <f>COUNTIFS(Hospitalización!$M$3:$M$500,"Hospitalización Ginecología",Hospitalización!$X$3:$X$500,"1")</f>
        <v>0</v>
      </c>
      <c r="M23" s="27">
        <f>COUNTIFS(Hospitalización!$M$3:$M$500,"Hospitalización Ginecología",Hospitalización!$Y$3:$Y$500,"1")</f>
        <v>0</v>
      </c>
    </row>
    <row r="24" spans="1:13">
      <c r="B24" s="25">
        <f>SUM(B16:B23)</f>
        <v>7</v>
      </c>
      <c r="C24" s="25">
        <f t="shared" ref="C24:M24" si="1">SUM(C17:C23)</f>
        <v>7</v>
      </c>
      <c r="D24" s="25">
        <f t="shared" si="1"/>
        <v>7</v>
      </c>
      <c r="E24" s="25">
        <f t="shared" si="1"/>
        <v>7</v>
      </c>
      <c r="F24" s="25">
        <f t="shared" si="1"/>
        <v>7</v>
      </c>
      <c r="G24" s="25">
        <f t="shared" si="1"/>
        <v>7</v>
      </c>
      <c r="H24" s="25">
        <f t="shared" si="1"/>
        <v>7</v>
      </c>
      <c r="I24" s="25">
        <f t="shared" si="1"/>
        <v>7</v>
      </c>
      <c r="J24" s="25">
        <f t="shared" si="1"/>
        <v>7</v>
      </c>
      <c r="K24" s="25">
        <f t="shared" si="1"/>
        <v>7</v>
      </c>
      <c r="L24" s="25">
        <f t="shared" si="1"/>
        <v>7</v>
      </c>
      <c r="M24" s="25">
        <f t="shared" si="1"/>
        <v>7</v>
      </c>
    </row>
    <row r="26" spans="1:13" ht="35.4" customHeight="1">
      <c r="B26" s="187" t="s">
        <v>143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ht="36">
      <c r="B27" s="91" t="s">
        <v>119</v>
      </c>
      <c r="C27" s="91" t="s">
        <v>120</v>
      </c>
      <c r="D27" s="91" t="s">
        <v>121</v>
      </c>
      <c r="E27" s="91" t="s">
        <v>122</v>
      </c>
      <c r="F27" s="91" t="s">
        <v>123</v>
      </c>
      <c r="G27" s="91" t="s">
        <v>124</v>
      </c>
      <c r="H27" s="91" t="s">
        <v>125</v>
      </c>
      <c r="I27" s="91" t="s">
        <v>126</v>
      </c>
      <c r="J27" s="91" t="s">
        <v>127</v>
      </c>
      <c r="K27" s="91" t="s">
        <v>128</v>
      </c>
      <c r="L27" s="91" t="s">
        <v>129</v>
      </c>
      <c r="M27" s="91" t="s">
        <v>130</v>
      </c>
    </row>
    <row r="28" spans="1:13">
      <c r="A28" s="5" t="s">
        <v>111</v>
      </c>
      <c r="B28" s="27">
        <f>COUNTIFS(Hospitalización!$M$3:$M$500,"Hospitalización Medicina Interna",Hospitalización!$N$3:$N$500,"8")</f>
        <v>0</v>
      </c>
      <c r="C28" s="27">
        <f>COUNTIFS(Hospitalización!$M$3:$M$500,"Hospitalización Medicina Interna",Hospitalización!$O$3:$O$500,"8")</f>
        <v>0</v>
      </c>
      <c r="D28" s="27">
        <f>COUNTIFS(Hospitalización!$M$3:$M$500,"Hospitalización Medicina Interna",Hospitalización!$P$3:$P$500,"8")</f>
        <v>0</v>
      </c>
      <c r="E28" s="27">
        <f>COUNTIFS(Hospitalización!$M$3:$M$500,"Hospitalización Medicina Interna",Hospitalización!$Q$3:$Q$500,"8")</f>
        <v>0</v>
      </c>
      <c r="F28" s="27">
        <f>COUNTIFS(Hospitalización!$M$3:$M$500,"Hospitalización Medicina Interna",Hospitalización!$R$3:$R$500,"8")</f>
        <v>0</v>
      </c>
      <c r="G28" s="27">
        <f>COUNTIFS(Hospitalización!$M$3:$M$500,"Hospitalización Medicina Interna",Hospitalización!$S$3:$S$500,"8")</f>
        <v>0</v>
      </c>
      <c r="H28" s="27">
        <f>COUNTIFS(Hospitalización!$M$3:$M$500,"Hospitalización Medicina Interna",Hospitalización!$T$3:$T$500,"8")</f>
        <v>0</v>
      </c>
      <c r="I28" s="27">
        <f>COUNTIFS(Hospitalización!$M$3:$M$500,"Hospitalización Medicina Interna",Hospitalización!$U$3:$U$500,"8")</f>
        <v>0</v>
      </c>
      <c r="J28" s="27">
        <f>COUNTIFS(Hospitalización!$M$3:$M$500,"Hospitalización Medicina Interna",Hospitalización!$V$3:$V$500,"8")</f>
        <v>0</v>
      </c>
      <c r="K28" s="27">
        <f>COUNTIFS(Hospitalización!$M$3:$M$500,"Hospitalización Medicina Interna",Hospitalización!$W$3:$W$500,"8")</f>
        <v>0</v>
      </c>
      <c r="L28" s="27">
        <f>COUNTIFS(Hospitalización!$M$3:$M$500,"Hospitalización Medicina Interna",Hospitalización!$X$3:$X$500,"8")</f>
        <v>0</v>
      </c>
      <c r="M28" s="27">
        <f>COUNTIFS(Hospitalización!$M$3:$M$500,"Hospitalización Medicina Interna",Hospitalización!$Y$3:$Y$500,"8")</f>
        <v>0</v>
      </c>
    </row>
    <row r="29" spans="1:13">
      <c r="A29" s="5" t="s">
        <v>112</v>
      </c>
      <c r="B29" s="27">
        <f>COUNTIFS(Hospitalización!$M$3:$M$500,"Hospitalización Medicina Interna",Hospitalización!$N$3:$N$500,"7")</f>
        <v>0</v>
      </c>
      <c r="C29" s="27">
        <f>COUNTIFS(Hospitalización!$M$3:$M$500,"Hospitalización Medicina Interna",Hospitalización!$O$3:$O$500,"7")</f>
        <v>0</v>
      </c>
      <c r="D29" s="27">
        <f>COUNTIFS(Hospitalización!$M$3:$M$500,"Hospitalización Medicina Interna",Hospitalización!$P$3:$P$500,"7")</f>
        <v>0</v>
      </c>
      <c r="E29" s="27">
        <f>COUNTIFS(Hospitalización!$M$3:$M$500,"Hospitalización Medicina Interna",Hospitalización!$Q$3:$Q$500,"7")</f>
        <v>0</v>
      </c>
      <c r="F29" s="27">
        <f>COUNTIFS(Hospitalización!$M$3:$M$500,"Hospitalización Medicina Interna",Hospitalización!$R$3:$R$500,"7")</f>
        <v>0</v>
      </c>
      <c r="G29" s="27">
        <f>COUNTIFS(Hospitalización!$M$3:$M$500,"Hospitalización Medicina Interna",Hospitalización!$S$3:$S$500,"7")</f>
        <v>0</v>
      </c>
      <c r="H29" s="27">
        <f>COUNTIFS(Hospitalización!$M$3:$M$500,"Hospitalización Medicina Interna",Hospitalización!$T$3:$T$500,"7")</f>
        <v>0</v>
      </c>
      <c r="I29" s="27">
        <f>COUNTIFS(Hospitalización!$M$3:$M$500,"Hospitalización Medicina Interna",Hospitalización!$U$3:$U$500,"7")</f>
        <v>0</v>
      </c>
      <c r="J29" s="27">
        <f>COUNTIFS(Hospitalización!$M$3:$M$500,"Hospitalización Medicina Interna",Hospitalización!$V$3:$V$500,"7")</f>
        <v>0</v>
      </c>
      <c r="K29" s="27">
        <f>COUNTIFS(Hospitalización!$M$3:$M$500,"Hospitalización Medicina Interna",Hospitalización!$W$3:$W$500,"7")</f>
        <v>0</v>
      </c>
      <c r="L29" s="27">
        <f>COUNTIFS(Hospitalización!$M$3:$M$500,"Hospitalización Medicina Interna",Hospitalización!$X$3:$X$500,"7")</f>
        <v>0</v>
      </c>
      <c r="M29" s="27">
        <f>COUNTIFS(Hospitalización!$M$3:$M$500,"Hospitalización Medicina Interna",Hospitalización!$Y$3:$Y$500,"7")</f>
        <v>0</v>
      </c>
    </row>
    <row r="30" spans="1:13">
      <c r="A30" s="77" t="s">
        <v>113</v>
      </c>
      <c r="B30" s="27">
        <f>COUNTIFS(Hospitalización!$M$3:$M$500,"Hospitalización Medicina Interna",Hospitalización!$N$3:$N$500,"6")</f>
        <v>0</v>
      </c>
      <c r="C30" s="27">
        <f>COUNTIFS(Hospitalización!$M$3:$M$500,"Hospitalización Medicina Interna",Hospitalización!$O$3:$O$500,"6")</f>
        <v>0</v>
      </c>
      <c r="D30" s="27">
        <f>COUNTIFS(Hospitalización!$M$3:$M$500,"Hospitalización Medicina Interna",Hospitalización!$P$3:$P$500,"6")</f>
        <v>0</v>
      </c>
      <c r="E30" s="27">
        <f>COUNTIFS(Hospitalización!$M$3:$M$500,"Hospitalización Medicina Interna",Hospitalización!$Q$3:$Q$500,"6")</f>
        <v>0</v>
      </c>
      <c r="F30" s="27">
        <f>COUNTIFS(Hospitalización!$M$3:$M$500,"Hospitalización Medicina Interna",Hospitalización!$R$3:$R$500,"6")</f>
        <v>0</v>
      </c>
      <c r="G30" s="27">
        <f>COUNTIFS(Hospitalización!$M$3:$M$500,"Hospitalización Medicina Interna",Hospitalización!$S$3:$S$500,"6")</f>
        <v>0</v>
      </c>
      <c r="H30" s="27">
        <f>COUNTIFS(Hospitalización!$M$3:$M$500,"Hospitalización Medicina Interna",Hospitalización!$T$3:$T$500,"6")</f>
        <v>0</v>
      </c>
      <c r="I30" s="27">
        <f>COUNTIFS(Hospitalización!$M$3:$M$500,"Hospitalización Medicina Interna",Hospitalización!$U$3:$U$500,"6")</f>
        <v>0</v>
      </c>
      <c r="J30" s="27">
        <f>COUNTIFS(Hospitalización!$M$3:$M$500,"Hospitalización Medicina Interna",Hospitalización!$V$3:$V$500,"6")</f>
        <v>0</v>
      </c>
      <c r="K30" s="27">
        <f>COUNTIFS(Hospitalización!$M$3:$M$500,"Hospitalización Medicina Interna",Hospitalización!$W$3:$W$500,"6")</f>
        <v>0</v>
      </c>
      <c r="L30" s="27">
        <f>COUNTIFS(Hospitalización!$M$3:$M$500,"Hospitalización Medicina Interna",Hospitalización!$X$3:$X$500,"6")</f>
        <v>0</v>
      </c>
      <c r="M30" s="27">
        <f>COUNTIFS(Hospitalización!$M$3:$M$500,"Hospitalización Medicina Interna",Hospitalización!$Y$3:$Y$500,"6")</f>
        <v>0</v>
      </c>
    </row>
    <row r="31" spans="1:13">
      <c r="A31" s="77" t="s">
        <v>114</v>
      </c>
      <c r="B31" s="27">
        <f>COUNTIFS(Hospitalización!$M$3:$M$500,"Hospitalización Medicina Interna",Hospitalización!$N$3:$N$500,"5")</f>
        <v>6</v>
      </c>
      <c r="C31" s="27">
        <f>COUNTIFS(Hospitalización!$M$3:$M$500,"Hospitalización Medicina Interna",Hospitalización!$O$3:$O$500,"5")</f>
        <v>6</v>
      </c>
      <c r="D31" s="27">
        <f>COUNTIFS(Hospitalización!$M$3:$M$500,"Hospitalización Medicina Interna",Hospitalización!$P$3:$P$500,"5")</f>
        <v>6</v>
      </c>
      <c r="E31" s="27">
        <f>COUNTIFS(Hospitalización!$M$3:$M$500,"Hospitalización Medicina Interna",Hospitalización!$Q$3:$Q$500,"5")</f>
        <v>6</v>
      </c>
      <c r="F31" s="27">
        <f>COUNTIFS(Hospitalización!$M$3:$M$500,"Hospitalización Medicina Interna",Hospitalización!$R$3:$R$500,"5")</f>
        <v>6</v>
      </c>
      <c r="G31" s="27">
        <f>COUNTIFS(Hospitalización!$M$3:$M$500,"Hospitalización Medicina Interna",Hospitalización!$S$3:$S$500,"5")</f>
        <v>6</v>
      </c>
      <c r="H31" s="27">
        <f>COUNTIFS(Hospitalización!$M$3:$M$500,"Hospitalización Medicina Interna",Hospitalización!$T$3:$T$500,"5")</f>
        <v>6</v>
      </c>
      <c r="I31" s="27">
        <f>COUNTIFS(Hospitalización!$M$3:$M$500,"Hospitalización Medicina Interna",Hospitalización!$U$3:$U$500,"5")</f>
        <v>6</v>
      </c>
      <c r="J31" s="27">
        <f>COUNTIFS(Hospitalización!$M$3:$M$500,"Hospitalización Medicina Interna",Hospitalización!$V$3:$V$500,"5")</f>
        <v>6</v>
      </c>
      <c r="K31" s="27">
        <f>COUNTIFS(Hospitalización!$M$3:$M$500,"Hospitalización Medicina Interna",Hospitalización!$W$3:$W$500,"5")</f>
        <v>6</v>
      </c>
      <c r="L31" s="27">
        <f>COUNTIFS(Hospitalización!$M$3:$M$500,"Hospitalización Medicina Interna",Hospitalización!$X$3:$X$500,"5")</f>
        <v>6</v>
      </c>
      <c r="M31" s="27">
        <f>COUNTIFS(Hospitalización!$M$3:$M$500,"Hospitalización Medicina Interna",Hospitalización!$Y$3:$Y$500,"5")</f>
        <v>6</v>
      </c>
    </row>
    <row r="32" spans="1:13">
      <c r="A32" s="77" t="s">
        <v>115</v>
      </c>
      <c r="B32" s="27">
        <f>COUNTIFS(Hospitalización!$M$3:$M$500,"Hospitalización Medicina Interna",Hospitalización!$N$3:$N$500,"4")</f>
        <v>1</v>
      </c>
      <c r="C32" s="27">
        <f>COUNTIFS(Hospitalización!$M$3:$M$500,"Hospitalización Medicina Interna",Hospitalización!$O$3:$O$500,"4")</f>
        <v>1</v>
      </c>
      <c r="D32" s="27">
        <f>COUNTIFS(Hospitalización!$M$3:$M$500,"Hospitalización Medicina Interna",Hospitalización!$P$3:$P$500,"4")</f>
        <v>1</v>
      </c>
      <c r="E32" s="27">
        <f>COUNTIFS(Hospitalización!$M$3:$M$500,"Hospitalización Medicina Interna",Hospitalización!$Q$3:$Q$500,"4")</f>
        <v>1</v>
      </c>
      <c r="F32" s="27">
        <f>COUNTIFS(Hospitalización!$M$3:$M$500,"Hospitalización Medicina Interna",Hospitalización!$R$3:$R$500,"4")</f>
        <v>1</v>
      </c>
      <c r="G32" s="27">
        <f>COUNTIFS(Hospitalización!$M$3:$M$500,"Hospitalización Medicina Interna",Hospitalización!$S$3:$S$500,"4")</f>
        <v>1</v>
      </c>
      <c r="H32" s="27">
        <f>COUNTIFS(Hospitalización!$M$3:$M$500,"Hospitalización Medicina Interna",Hospitalización!$T$3:$T$500,"4")</f>
        <v>1</v>
      </c>
      <c r="I32" s="27">
        <f>COUNTIFS(Hospitalización!$M$3:$M$500,"Hospitalización Medicina Interna",Hospitalización!$U$3:$U$500,"4")</f>
        <v>1</v>
      </c>
      <c r="J32" s="27">
        <f>COUNTIFS(Hospitalización!$M$3:$M$500,"Hospitalización Medicina Interna",Hospitalización!$V$3:$V$500,"4")</f>
        <v>1</v>
      </c>
      <c r="K32" s="27">
        <f>COUNTIFS(Hospitalización!$M$3:$M$500,"Hospitalización Medicina Interna",Hospitalización!$W$3:$W$500,"4")</f>
        <v>1</v>
      </c>
      <c r="L32" s="27">
        <f>COUNTIFS(Hospitalización!$M$3:$M$500,"Hospitalización Medicina Interna",Hospitalización!$X$3:$X$500,"4")</f>
        <v>1</v>
      </c>
      <c r="M32" s="27">
        <f>COUNTIFS(Hospitalización!$M$3:$M$500,"Hospitalización Medicina Interna",Hospitalización!$Y$3:$Y$500,"4")</f>
        <v>1</v>
      </c>
    </row>
    <row r="33" spans="1:13">
      <c r="A33" s="77" t="s">
        <v>116</v>
      </c>
      <c r="B33" s="27">
        <f>COUNTIFS(Hospitalización!$M$3:$M$500,"Hospitalización Medicina Interna",Hospitalización!$N$3:$N$500,"3")</f>
        <v>0</v>
      </c>
      <c r="C33" s="27">
        <f>COUNTIFS(Hospitalización!$M$3:$M$500,"Hospitalización Medicina Interna",Hospitalización!$O$3:$O$500,"3")</f>
        <v>0</v>
      </c>
      <c r="D33" s="27">
        <f>COUNTIFS(Hospitalización!$M$3:$M$500,"Hospitalización Medicina Interna",Hospitalización!$P$3:$P$500,"3")</f>
        <v>0</v>
      </c>
      <c r="E33" s="27">
        <f>COUNTIFS(Hospitalización!$M$3:$M$500,"Hospitalización Medicina Interna",Hospitalización!$Q$3:$Q$500,"3")</f>
        <v>0</v>
      </c>
      <c r="F33" s="27">
        <f>COUNTIFS(Hospitalización!$M$3:$M$500,"Hospitalización Medicina Interna",Hospitalización!$R$3:$R$500,"3")</f>
        <v>0</v>
      </c>
      <c r="G33" s="27">
        <f>COUNTIFS(Hospitalización!$M$3:$M$500,"Hospitalización Medicina Interna",Hospitalización!$S$3:$S$500,"3")</f>
        <v>0</v>
      </c>
      <c r="H33" s="27">
        <f>COUNTIFS(Hospitalización!$M$3:$M$500,"Hospitalización Medicina Interna",Hospitalización!$T$3:$T$500,"3")</f>
        <v>0</v>
      </c>
      <c r="I33" s="27">
        <f>COUNTIFS(Hospitalización!$M$3:$M$500,"Hospitalización Medicina Interna",Hospitalización!$U$3:$U$500,"3")</f>
        <v>0</v>
      </c>
      <c r="J33" s="27">
        <f>COUNTIFS(Hospitalización!$M$3:$M$500,"Hospitalización Medicina Interna",Hospitalización!$V$3:$V$500,"3")</f>
        <v>0</v>
      </c>
      <c r="K33" s="27">
        <f>COUNTIFS(Hospitalización!$M$3:$M$500,"Hospitalización Medicina Interna",Hospitalización!$W$3:$W$500,"3")</f>
        <v>0</v>
      </c>
      <c r="L33" s="27">
        <f>COUNTIFS(Hospitalización!$M$3:$M$500,"Hospitalización Medicina Interna",Hospitalización!$X$3:$X$500,"3")</f>
        <v>0</v>
      </c>
      <c r="M33" s="27">
        <f>COUNTIFS(Hospitalización!$M$3:$M$500,"Hospitalización Medicina Interna",Hospitalización!$Y$3:$Y$500,"3")</f>
        <v>0</v>
      </c>
    </row>
    <row r="34" spans="1:13">
      <c r="A34" s="77" t="s">
        <v>117</v>
      </c>
      <c r="B34" s="27">
        <f>COUNTIFS(Hospitalización!$M$3:$M$500,"Hospitalización Medicina Interna",Hospitalización!$N$3:$N$500,"2")</f>
        <v>0</v>
      </c>
      <c r="C34" s="27">
        <f>COUNTIFS(Hospitalización!$M$3:$M$500,"Hospitalización Medicina Interna",Hospitalización!$O$3:$O$500,"2")</f>
        <v>0</v>
      </c>
      <c r="D34" s="27">
        <f>COUNTIFS(Hospitalización!$M$3:$M$500,"Hospitalización Medicina Interna",Hospitalización!$P$3:$P$500,"2")</f>
        <v>0</v>
      </c>
      <c r="E34" s="27">
        <f>COUNTIFS(Hospitalización!$M$3:$M$500,"Hospitalización Medicina Interna",Hospitalización!$Q$3:$Q$500,"2")</f>
        <v>0</v>
      </c>
      <c r="F34" s="27">
        <f>COUNTIFS(Hospitalización!$M$3:$M$500,"Hospitalización Medicina Interna",Hospitalización!$R$3:$R$500,"2")</f>
        <v>0</v>
      </c>
      <c r="G34" s="27">
        <f>COUNTIFS(Hospitalización!$M$3:$M$500,"Hospitalización Medicina Interna",Hospitalización!$S$3:$S$500,"2")</f>
        <v>0</v>
      </c>
      <c r="H34" s="27">
        <f>COUNTIFS(Hospitalización!$M$3:$M$500,"Hospitalización Medicina Interna",Hospitalización!$T$3:$T$500,"2")</f>
        <v>0</v>
      </c>
      <c r="I34" s="27">
        <f>COUNTIFS(Hospitalización!$M$3:$M$500,"Hospitalización Medicina Interna",Hospitalización!$U$3:$U$500,"2")</f>
        <v>0</v>
      </c>
      <c r="J34" s="27">
        <f>COUNTIFS(Hospitalización!$M$3:$M$500,"Hospitalización Medicina Interna",Hospitalización!$V$3:$V$500,"2")</f>
        <v>0</v>
      </c>
      <c r="K34" s="27">
        <f>COUNTIFS(Hospitalización!$M$3:$M$500,"Hospitalización Medicina Interna",Hospitalización!$W$3:$W$500,"2")</f>
        <v>0</v>
      </c>
      <c r="L34" s="27">
        <f>COUNTIFS(Hospitalización!$M$3:$M$500,"Hospitalización Medicina Interna",Hospitalización!$X$3:$X$500,"2")</f>
        <v>0</v>
      </c>
      <c r="M34" s="27">
        <f>COUNTIFS(Hospitalización!$M$3:$M$500,"Hospitalización Medicina Interna",Hospitalización!$Y$3:$Y$500,"2")</f>
        <v>0</v>
      </c>
    </row>
    <row r="35" spans="1:13">
      <c r="A35" s="77" t="s">
        <v>118</v>
      </c>
      <c r="B35" s="27">
        <f>COUNTIFS(Hospitalización!$M$3:$M$500,"Hospitalización Medicina Interna",Hospitalización!$N$3:$N$500,"1")</f>
        <v>0</v>
      </c>
      <c r="C35" s="27">
        <f>COUNTIFS(Hospitalización!$M$3:$M$500,"Hospitalización Medicina Interna",Hospitalización!$O$3:$O$500,"1")</f>
        <v>0</v>
      </c>
      <c r="D35" s="27">
        <f>COUNTIFS(Hospitalización!$M$3:$M$500,"Hospitalización Medicina Interna",Hospitalización!$P$3:$P$500,"1")</f>
        <v>0</v>
      </c>
      <c r="E35" s="27">
        <f>COUNTIFS(Hospitalización!$M$3:$M$500,"Hospitalización Medicina Interna",Hospitalización!$Q$3:$Q$500,"1")</f>
        <v>0</v>
      </c>
      <c r="F35" s="27">
        <f>COUNTIFS(Hospitalización!$M$3:$M$500,"Hospitalización Medicina Interna",Hospitalización!$R$3:$R$500,"1")</f>
        <v>0</v>
      </c>
      <c r="G35" s="27">
        <f>COUNTIFS(Hospitalización!$M$3:$M$500,"Hospitalización Medicina Interna",Hospitalización!$S$3:$S$500,"1")</f>
        <v>0</v>
      </c>
      <c r="H35" s="27">
        <f>COUNTIFS(Hospitalización!$M$3:$M$500,"Hospitalización Medicina Interna",Hospitalización!$T$3:$T$500,"1")</f>
        <v>0</v>
      </c>
      <c r="I35" s="27">
        <f>COUNTIFS(Hospitalización!$M$3:$M$500,"Hospitalización Medicina Interna",Hospitalización!$U$3:$U$500,"1")</f>
        <v>0</v>
      </c>
      <c r="J35" s="27">
        <f>COUNTIFS(Hospitalización!$M$3:$M$500,"Hospitalización Medicina Interna",Hospitalización!$V$3:$V$500,"1")</f>
        <v>0</v>
      </c>
      <c r="K35" s="27">
        <f>COUNTIFS(Hospitalización!$M$3:$M$500,"Hospitalización Medicina Interna",Hospitalización!$W$3:$W$500,"1")</f>
        <v>0</v>
      </c>
      <c r="L35" s="27">
        <f>COUNTIFS(Hospitalización!$M$3:$M$500,"Hospitalización Medicina Interna",Hospitalización!$X$3:$X$500,"1")</f>
        <v>0</v>
      </c>
      <c r="M35" s="27">
        <f>COUNTIFS(Hospitalización!$M$3:$M$500,"Hospitalización Medicina Interna",Hospitalización!$Y$3:$Y$500,"1")</f>
        <v>0</v>
      </c>
    </row>
    <row r="36" spans="1:13">
      <c r="B36" s="25">
        <f>SUM(B28:B35)</f>
        <v>7</v>
      </c>
      <c r="C36" s="25">
        <f t="shared" ref="C36:M36" si="2">SUM(C29:C35)</f>
        <v>7</v>
      </c>
      <c r="D36" s="25">
        <f t="shared" si="2"/>
        <v>7</v>
      </c>
      <c r="E36" s="25">
        <f t="shared" si="2"/>
        <v>7</v>
      </c>
      <c r="F36" s="25">
        <f t="shared" si="2"/>
        <v>7</v>
      </c>
      <c r="G36" s="25">
        <f t="shared" si="2"/>
        <v>7</v>
      </c>
      <c r="H36" s="25">
        <f t="shared" si="2"/>
        <v>7</v>
      </c>
      <c r="I36" s="25">
        <f t="shared" si="2"/>
        <v>7</v>
      </c>
      <c r="J36" s="25">
        <f t="shared" si="2"/>
        <v>7</v>
      </c>
      <c r="K36" s="25">
        <f t="shared" si="2"/>
        <v>7</v>
      </c>
      <c r="L36" s="25">
        <f t="shared" si="2"/>
        <v>7</v>
      </c>
      <c r="M36" s="25">
        <f t="shared" si="2"/>
        <v>7</v>
      </c>
    </row>
    <row r="38" spans="1:13" ht="35.4" customHeight="1">
      <c r="B38" s="188" t="s">
        <v>144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</row>
    <row r="39" spans="1:13" ht="36">
      <c r="B39" s="91" t="s">
        <v>119</v>
      </c>
      <c r="C39" s="91" t="s">
        <v>120</v>
      </c>
      <c r="D39" s="91" t="s">
        <v>121</v>
      </c>
      <c r="E39" s="91" t="s">
        <v>122</v>
      </c>
      <c r="F39" s="91" t="s">
        <v>123</v>
      </c>
      <c r="G39" s="91" t="s">
        <v>124</v>
      </c>
      <c r="H39" s="91" t="s">
        <v>125</v>
      </c>
      <c r="I39" s="91" t="s">
        <v>126</v>
      </c>
      <c r="J39" s="91" t="s">
        <v>127</v>
      </c>
      <c r="K39" s="91" t="s">
        <v>128</v>
      </c>
      <c r="L39" s="91" t="s">
        <v>129</v>
      </c>
      <c r="M39" s="91" t="s">
        <v>130</v>
      </c>
    </row>
    <row r="40" spans="1:13">
      <c r="A40" s="5" t="s">
        <v>111</v>
      </c>
      <c r="B40" s="27">
        <f>COUNTIFS(Hospitalización!$M$3:$M$500,"Hospitalización Pediatría",Hospitalización!$N$3:$N$500,"8")</f>
        <v>0</v>
      </c>
      <c r="C40" s="27">
        <f>COUNTIFS(Hospitalización!$M$3:$M$500,"Hospitalización Pediatría",Hospitalización!$O$3:$O$500,"8")</f>
        <v>0</v>
      </c>
      <c r="D40" s="27">
        <f>COUNTIFS(Hospitalización!$M$3:$M$500,"Hospitalización Pediatría",Hospitalización!$P$3:$P$500,"8")</f>
        <v>0</v>
      </c>
      <c r="E40" s="27">
        <f>COUNTIFS(Hospitalización!$M$3:$M$500,"Hospitalización Pediatría",Hospitalización!$Q$3:$Q$500,"8")</f>
        <v>0</v>
      </c>
      <c r="F40" s="27">
        <f>COUNTIFS(Hospitalización!$M$3:$M$500,"Hospitalización Pediatría",Hospitalización!$R$3:$R$500,"8")</f>
        <v>0</v>
      </c>
      <c r="G40" s="27">
        <f>COUNTIFS(Hospitalización!$M$3:$M$500,"Hospitalización Pediatría",Hospitalización!$S$3:$S$500,"8")</f>
        <v>0</v>
      </c>
      <c r="H40" s="27">
        <f>COUNTIFS(Hospitalización!$M$3:$M$500,"Hospitalización Pediatría",Hospitalización!$T$3:$T$500,"8")</f>
        <v>0</v>
      </c>
      <c r="I40" s="27">
        <f>COUNTIFS(Hospitalización!$M$3:$M$500,"Hospitalización Pediatría",Hospitalización!$U$3:$U$500,"8")</f>
        <v>0</v>
      </c>
      <c r="J40" s="27">
        <f>COUNTIFS(Hospitalización!$M$3:$M$500,"Hospitalización Pediatría",Hospitalización!$V$3:$V$500,"8")</f>
        <v>0</v>
      </c>
      <c r="K40" s="27">
        <f>COUNTIFS(Hospitalización!$M$3:$M$500,"Hospitalización Pediatría",Hospitalización!$W$3:$W$500,"8")</f>
        <v>0</v>
      </c>
      <c r="L40" s="27">
        <f>COUNTIFS(Hospitalización!$M$3:$M$500,"Hospitalización Pediatría",Hospitalización!$X$3:$X$500,"8")</f>
        <v>0</v>
      </c>
      <c r="M40" s="27">
        <f>COUNTIFS(Hospitalización!$M$3:$M$500,"Hospitalización Pediatría",Hospitalización!$Y$3:$Y$500,"8")</f>
        <v>0</v>
      </c>
    </row>
    <row r="41" spans="1:13">
      <c r="A41" s="5" t="s">
        <v>112</v>
      </c>
      <c r="B41" s="27">
        <f>COUNTIFS(Hospitalización!$M$3:$M$500,"Hospitalización Pediatría",Hospitalización!$N$3:$N$500,"7")</f>
        <v>0</v>
      </c>
      <c r="C41" s="27">
        <f>COUNTIFS(Hospitalización!$M$3:$M$500,"Hospitalización Pediatría",Hospitalización!$O$3:$O$500,"7")</f>
        <v>0</v>
      </c>
      <c r="D41" s="27">
        <f>COUNTIFS(Hospitalización!$M$3:$M$500,"Hospitalización Pediatría",Hospitalización!$P$3:$P$500,"7")</f>
        <v>0</v>
      </c>
      <c r="E41" s="27">
        <f>COUNTIFS(Hospitalización!$M$3:$M$500,"Hospitalización Pediatría",Hospitalización!$Q$3:$Q$500,"7")</f>
        <v>0</v>
      </c>
      <c r="F41" s="27">
        <f>COUNTIFS(Hospitalización!$M$3:$M$500,"Hospitalización Pediatría",Hospitalización!$R$3:$R$500,"7")</f>
        <v>0</v>
      </c>
      <c r="G41" s="27">
        <f>COUNTIFS(Hospitalización!$M$3:$M$500,"Hospitalización Pediatría",Hospitalización!$S$3:$S$500,"7")</f>
        <v>0</v>
      </c>
      <c r="H41" s="27">
        <f>COUNTIFS(Hospitalización!$M$3:$M$500,"Hospitalización Pediatría",Hospitalización!$T$3:$T$500,"7")</f>
        <v>0</v>
      </c>
      <c r="I41" s="27">
        <f>COUNTIFS(Hospitalización!$M$3:$M$500,"Hospitalización Pediatría",Hospitalización!$U$3:$U$500,"7")</f>
        <v>0</v>
      </c>
      <c r="J41" s="27">
        <f>COUNTIFS(Hospitalización!$M$3:$M$500,"Hospitalización Pediatría",Hospitalización!$V$3:$V$500,"7")</f>
        <v>0</v>
      </c>
      <c r="K41" s="27">
        <f>COUNTIFS(Hospitalización!$M$3:$M$500,"Hospitalización Pediatría",Hospitalización!$W$3:$W$500,"7")</f>
        <v>0</v>
      </c>
      <c r="L41" s="27">
        <f>COUNTIFS(Hospitalización!$M$3:$M$500,"Hospitalización Pediatría",Hospitalización!$X$3:$X$500,"7")</f>
        <v>0</v>
      </c>
      <c r="M41" s="27">
        <f>COUNTIFS(Hospitalización!$M$3:$M$500,"Hospitalización Pediatría",Hospitalización!$Y$3:$Y$500,"7")</f>
        <v>0</v>
      </c>
    </row>
    <row r="42" spans="1:13">
      <c r="A42" s="77" t="s">
        <v>113</v>
      </c>
      <c r="B42" s="27">
        <f>COUNTIFS(Hospitalización!$M$3:$M$500,"Hospitalización Pediatría",Hospitalización!$N$3:$N$500,"6")</f>
        <v>0</v>
      </c>
      <c r="C42" s="27">
        <f>COUNTIFS(Hospitalización!$M$3:$M$500,"Hospitalización Pediatría",Hospitalización!$O$3:$O$500,"6")</f>
        <v>0</v>
      </c>
      <c r="D42" s="27">
        <f>COUNTIFS(Hospitalización!$M$3:$M$500,"Hospitalización Pediatría",Hospitalización!$P$3:$P$500,"6")</f>
        <v>0</v>
      </c>
      <c r="E42" s="27">
        <f>COUNTIFS(Hospitalización!$M$3:$M$500,"Hospitalización Pediatría",Hospitalización!$Q$3:$Q$500,"6")</f>
        <v>0</v>
      </c>
      <c r="F42" s="27">
        <f>COUNTIFS(Hospitalización!$M$3:$M$500,"Hospitalización Pediatría",Hospitalización!$R$3:$R$500,"6")</f>
        <v>0</v>
      </c>
      <c r="G42" s="27">
        <f>COUNTIFS(Hospitalización!$M$3:$M$500,"Hospitalización Pediatría",Hospitalización!$S$3:$S$500,"6")</f>
        <v>0</v>
      </c>
      <c r="H42" s="27">
        <f>COUNTIFS(Hospitalización!$M$3:$M$500,"Hospitalización Pediatría",Hospitalización!$T$3:$T$500,"6")</f>
        <v>0</v>
      </c>
      <c r="I42" s="27">
        <f>COUNTIFS(Hospitalización!$M$3:$M$500,"Hospitalización Pediatría",Hospitalización!$U$3:$U$500,"6")</f>
        <v>0</v>
      </c>
      <c r="J42" s="27">
        <f>COUNTIFS(Hospitalización!$M$3:$M$500,"Hospitalización Pediatría",Hospitalización!$V$3:$V$500,"6")</f>
        <v>0</v>
      </c>
      <c r="K42" s="27">
        <f>COUNTIFS(Hospitalización!$M$3:$M$500,"Hospitalización Pediatría",Hospitalización!$W$3:$W$500,"6")</f>
        <v>0</v>
      </c>
      <c r="L42" s="27">
        <f>COUNTIFS(Hospitalización!$M$3:$M$500,"Hospitalización Pediatría",Hospitalización!$X$3:$X$500,"6")</f>
        <v>0</v>
      </c>
      <c r="M42" s="27">
        <f>COUNTIFS(Hospitalización!$M$3:$M$500,"Hospitalización Pediatría",Hospitalización!$Y$3:$Y$500,"6")</f>
        <v>0</v>
      </c>
    </row>
    <row r="43" spans="1:13">
      <c r="A43" s="77" t="s">
        <v>114</v>
      </c>
      <c r="B43" s="27">
        <f>COUNTIFS(Hospitalización!$M$3:$M$500,"Hospitalización Pediatría",Hospitalización!$N$3:$N$500,"5")</f>
        <v>5</v>
      </c>
      <c r="C43" s="27">
        <f>COUNTIFS(Hospitalización!$M$3:$M$500,"Hospitalización Pediatría",Hospitalización!$O$3:$O$500,"5")</f>
        <v>5</v>
      </c>
      <c r="D43" s="27">
        <f>COUNTIFS(Hospitalización!$M$3:$M$500,"Hospitalización Pediatría",Hospitalización!$P$3:$P$500,"5")</f>
        <v>5</v>
      </c>
      <c r="E43" s="27">
        <f>COUNTIFS(Hospitalización!$M$3:$M$500,"Hospitalización Pediatría",Hospitalización!$Q$3:$Q$500,"5")</f>
        <v>5</v>
      </c>
      <c r="F43" s="27">
        <f>COUNTIFS(Hospitalización!$M$3:$M$500,"Hospitalización Pediatría",Hospitalización!$R$3:$R$500,"5")</f>
        <v>5</v>
      </c>
      <c r="G43" s="27">
        <f>COUNTIFS(Hospitalización!$M$3:$M$500,"Hospitalización Pediatría",Hospitalización!$S$3:$S$500,"5")</f>
        <v>5</v>
      </c>
      <c r="H43" s="27">
        <f>COUNTIFS(Hospitalización!$M$3:$M$500,"Hospitalización Pediatría",Hospitalización!$T$3:$T$500,"5")</f>
        <v>5</v>
      </c>
      <c r="I43" s="27">
        <f>COUNTIFS(Hospitalización!$M$3:$M$500,"Hospitalización Pediatría",Hospitalización!$U$3:$U$500,"5")</f>
        <v>5</v>
      </c>
      <c r="J43" s="27">
        <f>COUNTIFS(Hospitalización!$M$3:$M$500,"Hospitalización Pediatría",Hospitalización!$V$3:$V$500,"5")</f>
        <v>5</v>
      </c>
      <c r="K43" s="27">
        <f>COUNTIFS(Hospitalización!$M$3:$M$500,"Hospitalización Pediatría",Hospitalización!$W$3:$W$500,"5")</f>
        <v>5</v>
      </c>
      <c r="L43" s="27">
        <f>COUNTIFS(Hospitalización!$M$3:$M$500,"Hospitalización Pediatría",Hospitalización!$X$3:$X$500,"5")</f>
        <v>5</v>
      </c>
      <c r="M43" s="27">
        <f>COUNTIFS(Hospitalización!$M$3:$M$500,"Hospitalización Pediatría",Hospitalización!$Y$3:$Y$500,"5")</f>
        <v>5</v>
      </c>
    </row>
    <row r="44" spans="1:13">
      <c r="A44" s="77" t="s">
        <v>115</v>
      </c>
      <c r="B44" s="27">
        <f>COUNTIFS(Hospitalización!$M$3:$M$500,"Hospitalización Pediatría",Hospitalización!$N$3:$N$500,"4")</f>
        <v>2</v>
      </c>
      <c r="C44" s="27">
        <f>COUNTIFS(Hospitalización!$M$3:$M$500,"Hospitalización Pediatría",Hospitalización!$O$3:$O$500,"4")</f>
        <v>2</v>
      </c>
      <c r="D44" s="27">
        <f>COUNTIFS(Hospitalización!$M$3:$M$500,"Hospitalización Pediatría",Hospitalización!$P$3:$P$500,"4")</f>
        <v>2</v>
      </c>
      <c r="E44" s="27">
        <f>COUNTIFS(Hospitalización!$M$3:$M$500,"Hospitalización Pediatría",Hospitalización!$Q$3:$Q$500,"4")</f>
        <v>2</v>
      </c>
      <c r="F44" s="27">
        <f>COUNTIFS(Hospitalización!$M$3:$M$500,"Hospitalización Pediatría",Hospitalización!$R$3:$R$500,"4")</f>
        <v>2</v>
      </c>
      <c r="G44" s="27">
        <f>COUNTIFS(Hospitalización!$M$3:$M$500,"Hospitalización Pediatría",Hospitalización!$S$3:$S$500,"4")</f>
        <v>2</v>
      </c>
      <c r="H44" s="27">
        <f>COUNTIFS(Hospitalización!$M$3:$M$500,"Hospitalización Pediatría",Hospitalización!$T$3:$T$500,"4")</f>
        <v>2</v>
      </c>
      <c r="I44" s="27">
        <f>COUNTIFS(Hospitalización!$M$3:$M$500,"Hospitalización Pediatría",Hospitalización!$U$3:$U$500,"4")</f>
        <v>2</v>
      </c>
      <c r="J44" s="27">
        <f>COUNTIFS(Hospitalización!$M$3:$M$500,"Hospitalización Pediatría",Hospitalización!$V$3:$V$500,"4")</f>
        <v>2</v>
      </c>
      <c r="K44" s="27">
        <f>COUNTIFS(Hospitalización!$M$3:$M$500,"Hospitalización Pediatría",Hospitalización!$W$3:$W$500,"4")</f>
        <v>2</v>
      </c>
      <c r="L44" s="27">
        <f>COUNTIFS(Hospitalización!$M$3:$M$500,"Hospitalización Pediatría",Hospitalización!$X$3:$X$500,"4")</f>
        <v>2</v>
      </c>
      <c r="M44" s="27">
        <f>COUNTIFS(Hospitalización!$M$3:$M$500,"Hospitalización Pediatría",Hospitalización!$Y$3:$Y$500,"4")</f>
        <v>2</v>
      </c>
    </row>
    <row r="45" spans="1:13">
      <c r="A45" s="77" t="s">
        <v>116</v>
      </c>
      <c r="B45" s="27">
        <f>COUNTIFS(Hospitalización!$M$3:$M$500,"Hospitalización Pediatría",Hospitalización!$N$3:$N$500,"3")</f>
        <v>0</v>
      </c>
      <c r="C45" s="27">
        <f>COUNTIFS(Hospitalización!$M$3:$M$500,"Hospitalización Pediatría",Hospitalización!$O$3:$O$500,"3")</f>
        <v>0</v>
      </c>
      <c r="D45" s="27">
        <f>COUNTIFS(Hospitalización!$M$3:$M$500,"Hospitalización Pediatría",Hospitalización!$P$3:$P$500,"3")</f>
        <v>0</v>
      </c>
      <c r="E45" s="27">
        <f>COUNTIFS(Hospitalización!$M$3:$M$500,"Hospitalización Pediatría",Hospitalización!$Q$3:$Q$500,"3")</f>
        <v>0</v>
      </c>
      <c r="F45" s="27">
        <f>COUNTIFS(Hospitalización!$M$3:$M$500,"Hospitalización Pediatría",Hospitalización!$R$3:$R$500,"3")</f>
        <v>0</v>
      </c>
      <c r="G45" s="27">
        <f>COUNTIFS(Hospitalización!$M$3:$M$500,"Hospitalización Pediatría",Hospitalización!$S$3:$S$500,"3")</f>
        <v>0</v>
      </c>
      <c r="H45" s="27">
        <f>COUNTIFS(Hospitalización!$M$3:$M$500,"Hospitalización Pediatría",Hospitalización!$T$3:$T$500,"3")</f>
        <v>0</v>
      </c>
      <c r="I45" s="27">
        <f>COUNTIFS(Hospitalización!$M$3:$M$500,"Hospitalización Pediatría",Hospitalización!$U$3:$U$500,"3")</f>
        <v>0</v>
      </c>
      <c r="J45" s="27">
        <f>COUNTIFS(Hospitalización!$M$3:$M$500,"Hospitalización Pediatría",Hospitalización!$V$3:$V$500,"3")</f>
        <v>0</v>
      </c>
      <c r="K45" s="27">
        <f>COUNTIFS(Hospitalización!$M$3:$M$500,"Hospitalización Pediatría",Hospitalización!$W$3:$W$500,"3")</f>
        <v>0</v>
      </c>
      <c r="L45" s="27">
        <f>COUNTIFS(Hospitalización!$M$3:$M$500,"Hospitalización Pediatría",Hospitalización!$X$3:$X$500,"3")</f>
        <v>0</v>
      </c>
      <c r="M45" s="27">
        <f>COUNTIFS(Hospitalización!$M$3:$M$500,"Hospitalización Pediatría",Hospitalización!$Y$3:$Y$500,"3")</f>
        <v>0</v>
      </c>
    </row>
    <row r="46" spans="1:13">
      <c r="A46" s="77" t="s">
        <v>117</v>
      </c>
      <c r="B46" s="27">
        <f>COUNTIFS(Hospitalización!$M$3:$M$500,"Hospitalización Pediatría",Hospitalización!$N$3:$N$500,"2")</f>
        <v>0</v>
      </c>
      <c r="C46" s="27">
        <f>COUNTIFS(Hospitalización!$M$3:$M$500,"Hospitalización Pediatría",Hospitalización!$O$3:$O$500,"2")</f>
        <v>0</v>
      </c>
      <c r="D46" s="27">
        <f>COUNTIFS(Hospitalización!$M$3:$M$500,"Hospitalización Pediatría",Hospitalización!$P$3:$P$500,"2")</f>
        <v>0</v>
      </c>
      <c r="E46" s="27">
        <f>COUNTIFS(Hospitalización!$M$3:$M$500,"Hospitalización Pediatría",Hospitalización!$Q$3:$Q$500,"2")</f>
        <v>0</v>
      </c>
      <c r="F46" s="27">
        <f>COUNTIFS(Hospitalización!$M$3:$M$500,"Hospitalización Pediatría",Hospitalización!$R$3:$R$500,"2")</f>
        <v>0</v>
      </c>
      <c r="G46" s="27">
        <f>COUNTIFS(Hospitalización!$M$3:$M$500,"Hospitalización Pediatría",Hospitalización!$S$3:$S$500,"2")</f>
        <v>0</v>
      </c>
      <c r="H46" s="27">
        <f>COUNTIFS(Hospitalización!$M$3:$M$500,"Hospitalización Pediatría",Hospitalización!$T$3:$T$500,"2")</f>
        <v>0</v>
      </c>
      <c r="I46" s="27">
        <f>COUNTIFS(Hospitalización!$M$3:$M$500,"Hospitalización Pediatría",Hospitalización!$U$3:$U$500,"2")</f>
        <v>0</v>
      </c>
      <c r="J46" s="27">
        <f>COUNTIFS(Hospitalización!$M$3:$M$500,"Hospitalización Pediatría",Hospitalización!$V$3:$V$500,"2")</f>
        <v>0</v>
      </c>
      <c r="K46" s="27">
        <f>COUNTIFS(Hospitalización!$M$3:$M$500,"Hospitalización Pediatría",Hospitalización!$W$3:$W$500,"2")</f>
        <v>0</v>
      </c>
      <c r="L46" s="27">
        <f>COUNTIFS(Hospitalización!$M$3:$M$500,"Hospitalización Pediatría",Hospitalización!$X$3:$X$500,"2")</f>
        <v>0</v>
      </c>
      <c r="M46" s="27">
        <f>COUNTIFS(Hospitalización!$M$3:$M$500,"Hospitalización Pediatría",Hospitalización!$Y$3:$Y$500,"2")</f>
        <v>0</v>
      </c>
    </row>
    <row r="47" spans="1:13">
      <c r="A47" s="77" t="s">
        <v>118</v>
      </c>
      <c r="B47" s="27">
        <f>COUNTIFS(Hospitalización!$M$3:$M$500,"Hospitalización Pediatría",Hospitalización!$N$3:$N$500,"1")</f>
        <v>0</v>
      </c>
      <c r="C47" s="27">
        <f>COUNTIFS(Hospitalización!$M$3:$M$500,"Hospitalización Pediatría",Hospitalización!$O$3:$O$500,"1")</f>
        <v>0</v>
      </c>
      <c r="D47" s="27">
        <f>COUNTIFS(Hospitalización!$M$3:$M$500,"Hospitalización Pediatría",Hospitalización!$P$3:$P$500,"1")</f>
        <v>0</v>
      </c>
      <c r="E47" s="27">
        <f>COUNTIFS(Hospitalización!$M$3:$M$500,"Hospitalización Pediatría",Hospitalización!$Q$3:$Q$500,"1")</f>
        <v>0</v>
      </c>
      <c r="F47" s="27">
        <f>COUNTIFS(Hospitalización!$M$3:$M$500,"Hospitalización Pediatría",Hospitalización!$R$3:$R$500,"1")</f>
        <v>0</v>
      </c>
      <c r="G47" s="27">
        <f>COUNTIFS(Hospitalización!$M$3:$M$500,"Hospitalización Pediatría",Hospitalización!$S$3:$S$500,"1")</f>
        <v>0</v>
      </c>
      <c r="H47" s="27">
        <f>COUNTIFS(Hospitalización!$M$3:$M$500,"Hospitalización Pediatría",Hospitalización!$T$3:$T$500,"1")</f>
        <v>0</v>
      </c>
      <c r="I47" s="27">
        <f>COUNTIFS(Hospitalización!$M$3:$M$500,"Hospitalización Pediatría",Hospitalización!$U$3:$U$500,"1")</f>
        <v>0</v>
      </c>
      <c r="J47" s="27">
        <f>COUNTIFS(Hospitalización!$M$3:$M$500,"Hospitalización Pediatría",Hospitalización!$V$3:$V$500,"1")</f>
        <v>0</v>
      </c>
      <c r="K47" s="27">
        <f>COUNTIFS(Hospitalización!$M$3:$M$500,"Hospitalización Pediatría",Hospitalización!$W$3:$W$500,"1")</f>
        <v>0</v>
      </c>
      <c r="L47" s="27">
        <f>COUNTIFS(Hospitalización!$M$3:$M$500,"Hospitalización Pediatría",Hospitalización!$X$3:$X$500,"1")</f>
        <v>0</v>
      </c>
      <c r="M47" s="27">
        <f>COUNTIFS(Hospitalización!$M$3:$M$500,"Hospitalización Pediatría",Hospitalización!$Y$3:$Y$500,"1")</f>
        <v>0</v>
      </c>
    </row>
    <row r="48" spans="1:13">
      <c r="B48" s="25">
        <f>SUM(B40:B47)</f>
        <v>7</v>
      </c>
      <c r="C48" s="25">
        <f t="shared" ref="C48:M48" si="3">SUM(C41:C47)</f>
        <v>7</v>
      </c>
      <c r="D48" s="25">
        <f t="shared" si="3"/>
        <v>7</v>
      </c>
      <c r="E48" s="25">
        <f t="shared" si="3"/>
        <v>7</v>
      </c>
      <c r="F48" s="25">
        <f t="shared" si="3"/>
        <v>7</v>
      </c>
      <c r="G48" s="25">
        <f t="shared" si="3"/>
        <v>7</v>
      </c>
      <c r="H48" s="25">
        <f t="shared" si="3"/>
        <v>7</v>
      </c>
      <c r="I48" s="25">
        <f t="shared" si="3"/>
        <v>7</v>
      </c>
      <c r="J48" s="25">
        <f t="shared" si="3"/>
        <v>7</v>
      </c>
      <c r="K48" s="25">
        <f t="shared" si="3"/>
        <v>7</v>
      </c>
      <c r="L48" s="25">
        <f t="shared" si="3"/>
        <v>7</v>
      </c>
      <c r="M48" s="25">
        <f t="shared" si="3"/>
        <v>7</v>
      </c>
    </row>
    <row r="50" spans="1:13" ht="35.4" customHeight="1">
      <c r="B50" s="189" t="s">
        <v>145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</row>
    <row r="51" spans="1:13" ht="36">
      <c r="B51" s="91" t="s">
        <v>119</v>
      </c>
      <c r="C51" s="91" t="s">
        <v>120</v>
      </c>
      <c r="D51" s="91" t="s">
        <v>121</v>
      </c>
      <c r="E51" s="91" t="s">
        <v>122</v>
      </c>
      <c r="F51" s="91" t="s">
        <v>123</v>
      </c>
      <c r="G51" s="91" t="s">
        <v>124</v>
      </c>
      <c r="H51" s="91" t="s">
        <v>125</v>
      </c>
      <c r="I51" s="91" t="s">
        <v>126</v>
      </c>
      <c r="J51" s="91" t="s">
        <v>127</v>
      </c>
      <c r="K51" s="91" t="s">
        <v>128</v>
      </c>
      <c r="L51" s="91" t="s">
        <v>129</v>
      </c>
      <c r="M51" s="91" t="s">
        <v>130</v>
      </c>
    </row>
    <row r="52" spans="1:13">
      <c r="A52" s="5" t="s">
        <v>111</v>
      </c>
      <c r="B52" s="27">
        <f>COUNTIFS(Hospitalización!$M$3:$M$500,"Hospitalización Quirurgicas",Hospitalización!$N$3:$N$500,"8")</f>
        <v>0</v>
      </c>
      <c r="C52" s="27">
        <f>COUNTIFS(Hospitalización!$M$3:$M$500,"Hospitalización Quirurgicas",Hospitalización!$O$3:$O$500,"8")</f>
        <v>0</v>
      </c>
      <c r="D52" s="27">
        <f>COUNTIFS(Hospitalización!$M$3:$M$500,"Hospitalización Quirurgicas",Hospitalización!$P$3:$P$500,"8")</f>
        <v>0</v>
      </c>
      <c r="E52" s="27">
        <f>COUNTIFS(Hospitalización!$M$3:$M$500,"Hospitalización Quirurgicas",Hospitalización!$Q$3:$Q$500,"8")</f>
        <v>0</v>
      </c>
      <c r="F52" s="27">
        <f>COUNTIFS(Hospitalización!$M$3:$M$500,"Hospitalización Quirurgicas",Hospitalización!$R$3:$R$500,"8")</f>
        <v>0</v>
      </c>
      <c r="G52" s="27">
        <f>COUNTIFS(Hospitalización!$M$3:$M$500,"Hospitalización Quirurgicas",Hospitalización!$S$3:$S$500,"8")</f>
        <v>0</v>
      </c>
      <c r="H52" s="27">
        <f>COUNTIFS(Hospitalización!$M$3:$M$500,"Hospitalización Quirurgicas",Hospitalización!$T$3:$T$500,"8")</f>
        <v>0</v>
      </c>
      <c r="I52" s="27">
        <f>COUNTIFS(Hospitalización!$M$3:$M$500,"Hospitalización Quirurgicas",Hospitalización!$U$3:$U$500,"8")</f>
        <v>0</v>
      </c>
      <c r="J52" s="27">
        <f>COUNTIFS(Hospitalización!$M$3:$M$500,"Hospitalización Quirurgicas",Hospitalización!$V$3:$V$500,"8")</f>
        <v>0</v>
      </c>
      <c r="K52" s="27">
        <f>COUNTIFS(Hospitalización!$M$3:$M$500,"Hospitalización Quirurgicas",Hospitalización!$W$3:$W$500,"8")</f>
        <v>0</v>
      </c>
      <c r="L52" s="27">
        <f>COUNTIFS(Hospitalización!$M$3:$M$500,"Hospitalización Quirurgicas",Hospitalización!$X$3:$X$500,"8")</f>
        <v>0</v>
      </c>
      <c r="M52" s="27">
        <f>COUNTIFS(Hospitalización!$M$3:$M$500,"Hospitalización Quirurgicas",Hospitalización!$Y$3:$Y$500,"8")</f>
        <v>0</v>
      </c>
    </row>
    <row r="53" spans="1:13">
      <c r="A53" s="5" t="s">
        <v>112</v>
      </c>
      <c r="B53" s="27">
        <f>COUNTIFS(Hospitalización!$M$3:$M$500,"Hospitalización Quirurgicas",Hospitalización!$N$3:$N$500,"7")</f>
        <v>0</v>
      </c>
      <c r="C53" s="27">
        <f>COUNTIFS(Hospitalización!$M$3:$M$500,"Hospitalización Quirurgicas",Hospitalización!$O$3:$O$500,"7")</f>
        <v>0</v>
      </c>
      <c r="D53" s="27">
        <f>COUNTIFS(Hospitalización!$M$3:$M$500,"Hospitalización Quirurgicas",Hospitalización!$P$3:$P$500,"7")</f>
        <v>0</v>
      </c>
      <c r="E53" s="27">
        <f>COUNTIFS(Hospitalización!$M$3:$M$500,"Hospitalización Quirurgicas",Hospitalización!$Q$3:$Q$500,"7")</f>
        <v>0</v>
      </c>
      <c r="F53" s="27">
        <f>COUNTIFS(Hospitalización!$M$3:$M$500,"Hospitalización Quirurgicas",Hospitalización!$R$3:$R$500,"7")</f>
        <v>0</v>
      </c>
      <c r="G53" s="27">
        <f>COUNTIFS(Hospitalización!$M$3:$M$500,"Hospitalización Quirurgicas",Hospitalización!$S$3:$S$500,"7")</f>
        <v>0</v>
      </c>
      <c r="H53" s="27">
        <f>COUNTIFS(Hospitalización!$M$3:$M$500,"Hospitalización Quirurgicas",Hospitalización!$T$3:$T$500,"7")</f>
        <v>0</v>
      </c>
      <c r="I53" s="27">
        <f>COUNTIFS(Hospitalización!$M$3:$M$500,"Hospitalización Quirurgicas",Hospitalización!$U$3:$U$500,"7")</f>
        <v>0</v>
      </c>
      <c r="J53" s="27">
        <f>COUNTIFS(Hospitalización!$M$3:$M$500,"Hospitalización Quirurgicas",Hospitalización!$V$3:$V$500,"7")</f>
        <v>0</v>
      </c>
      <c r="K53" s="27">
        <f>COUNTIFS(Hospitalización!$M$3:$M$500,"Hospitalización Quirurgicas",Hospitalización!$W$3:$W$500,"7")</f>
        <v>0</v>
      </c>
      <c r="L53" s="27">
        <f>COUNTIFS(Hospitalización!$M$3:$M$500,"Hospitalización Quirurgicas",Hospitalización!$X$3:$X$500,"7")</f>
        <v>0</v>
      </c>
      <c r="M53" s="27">
        <f>COUNTIFS(Hospitalización!$M$3:$M$500,"Hospitalización Quirurgicas",Hospitalización!$Y$3:$Y$500,"7")</f>
        <v>0</v>
      </c>
    </row>
    <row r="54" spans="1:13">
      <c r="A54" s="77" t="s">
        <v>113</v>
      </c>
      <c r="B54" s="27">
        <f>COUNTIFS(Hospitalización!$M$3:$M$500,"Hospitalización Quirurgicas",Hospitalización!$N$3:$N$500,"6")</f>
        <v>0</v>
      </c>
      <c r="C54" s="27">
        <f>COUNTIFS(Hospitalización!$M$3:$M$500,"Hospitalización Quirurgicas",Hospitalización!$O$3:$O$500,"6")</f>
        <v>0</v>
      </c>
      <c r="D54" s="27">
        <f>COUNTIFS(Hospitalización!$M$3:$M$500,"Hospitalización Quirurgicas",Hospitalización!$P$3:$P$500,"6")</f>
        <v>0</v>
      </c>
      <c r="E54" s="27">
        <f>COUNTIFS(Hospitalización!$M$3:$M$500,"Hospitalización Quirurgicas",Hospitalización!$Q$3:$Q$500,"6")</f>
        <v>0</v>
      </c>
      <c r="F54" s="27">
        <f>COUNTIFS(Hospitalización!$M$3:$M$500,"Hospitalización Quirurgicas",Hospitalización!$R$3:$R$500,"6")</f>
        <v>0</v>
      </c>
      <c r="G54" s="27">
        <f>COUNTIFS(Hospitalización!$M$3:$M$500,"Hospitalización Quirurgicas",Hospitalización!$S$3:$S$500,"6")</f>
        <v>0</v>
      </c>
      <c r="H54" s="27">
        <f>COUNTIFS(Hospitalización!$M$3:$M$500,"Hospitalización Quirurgicas",Hospitalización!$T$3:$T$500,"6")</f>
        <v>0</v>
      </c>
      <c r="I54" s="27">
        <f>COUNTIFS(Hospitalización!$M$3:$M$500,"Hospitalización Quirurgicas",Hospitalización!$U$3:$U$500,"6")</f>
        <v>0</v>
      </c>
      <c r="J54" s="27">
        <f>COUNTIFS(Hospitalización!$M$3:$M$500,"Hospitalización Quirurgicas",Hospitalización!$V$3:$V$500,"6")</f>
        <v>0</v>
      </c>
      <c r="K54" s="27">
        <f>COUNTIFS(Hospitalización!$M$3:$M$500,"Hospitalización Quirurgicas",Hospitalización!$W$3:$W$500,"6")</f>
        <v>0</v>
      </c>
      <c r="L54" s="27">
        <f>COUNTIFS(Hospitalización!$M$3:$M$500,"Hospitalización Quirurgicas",Hospitalización!$X$3:$X$500,"6")</f>
        <v>0</v>
      </c>
      <c r="M54" s="27">
        <f>COUNTIFS(Hospitalización!$M$3:$M$500,"Hospitalización Quirurgicas",Hospitalización!$Y$3:$Y$500,"6")</f>
        <v>0</v>
      </c>
    </row>
    <row r="55" spans="1:13">
      <c r="A55" s="77" t="s">
        <v>114</v>
      </c>
      <c r="B55" s="27">
        <f>COUNTIFS(Hospitalización!$M$3:$M$500,"Hospitalización Quirurgicas",Hospitalización!$N$3:$N$500,"5")</f>
        <v>6</v>
      </c>
      <c r="C55" s="27">
        <f>COUNTIFS(Hospitalización!$M$3:$M$500,"Hospitalización Quirurgicas",Hospitalización!$O$3:$O$500,"5")</f>
        <v>6</v>
      </c>
      <c r="D55" s="27">
        <f>COUNTIFS(Hospitalización!$M$3:$M$500,"Hospitalización Quirurgicas",Hospitalización!$P$3:$P$500,"5")</f>
        <v>6</v>
      </c>
      <c r="E55" s="27">
        <f>COUNTIFS(Hospitalización!$M$3:$M$500,"Hospitalización Quirurgicas",Hospitalización!$Q$3:$Q$500,"5")</f>
        <v>6</v>
      </c>
      <c r="F55" s="27">
        <f>COUNTIFS(Hospitalización!$M$3:$M$500,"Hospitalización Quirurgicas",Hospitalización!$R$3:$R$500,"5")</f>
        <v>6</v>
      </c>
      <c r="G55" s="27">
        <f>COUNTIFS(Hospitalización!$M$3:$M$500,"Hospitalización Quirurgicas",Hospitalización!$S$3:$S$500,"5")</f>
        <v>6</v>
      </c>
      <c r="H55" s="27">
        <f>COUNTIFS(Hospitalización!$M$3:$M$500,"Hospitalización Quirurgicas",Hospitalización!$T$3:$T$500,"5")</f>
        <v>6</v>
      </c>
      <c r="I55" s="27">
        <f>COUNTIFS(Hospitalización!$M$3:$M$500,"Hospitalización Quirurgicas",Hospitalización!$U$3:$U$500,"5")</f>
        <v>6</v>
      </c>
      <c r="J55" s="27">
        <f>COUNTIFS(Hospitalización!$M$3:$M$500,"Hospitalización Quirurgicas",Hospitalización!$V$3:$V$500,"5")</f>
        <v>6</v>
      </c>
      <c r="K55" s="27">
        <f>COUNTIFS(Hospitalización!$M$3:$M$500,"Hospitalización Quirurgicas",Hospitalización!$W$3:$W$500,"5")</f>
        <v>6</v>
      </c>
      <c r="L55" s="27">
        <f>COUNTIFS(Hospitalización!$M$3:$M$500,"Hospitalización Quirurgicas",Hospitalización!$X$3:$X$500,"5")</f>
        <v>6</v>
      </c>
      <c r="M55" s="27">
        <f>COUNTIFS(Hospitalización!$M$3:$M$500,"Hospitalización Quirurgicas",Hospitalización!$Y$3:$Y$500,"5")</f>
        <v>6</v>
      </c>
    </row>
    <row r="56" spans="1:13">
      <c r="A56" s="77" t="s">
        <v>115</v>
      </c>
      <c r="B56" s="27">
        <f>COUNTIFS(Hospitalización!$M$3:$M$500,"Hospitalización Quirurgicas",Hospitalización!$N$3:$N$500,"4")</f>
        <v>1</v>
      </c>
      <c r="C56" s="27">
        <f>COUNTIFS(Hospitalización!$M$3:$M$500,"Hospitalización Quirurgicas",Hospitalización!$O$3:$O$500,"4")</f>
        <v>1</v>
      </c>
      <c r="D56" s="27">
        <f>COUNTIFS(Hospitalización!$M$3:$M$500,"Hospitalización Quirurgicas",Hospitalización!$P$3:$P$500,"4")</f>
        <v>1</v>
      </c>
      <c r="E56" s="27">
        <f>COUNTIFS(Hospitalización!$M$3:$M$500,"Hospitalización Quirurgicas",Hospitalización!$Q$3:$Q$500,"4")</f>
        <v>1</v>
      </c>
      <c r="F56" s="27">
        <f>COUNTIFS(Hospitalización!$M$3:$M$500,"Hospitalización Quirurgicas",Hospitalización!$R$3:$R$500,"4")</f>
        <v>1</v>
      </c>
      <c r="G56" s="27">
        <f>COUNTIFS(Hospitalización!$M$3:$M$500,"Hospitalización Quirurgicas",Hospitalización!$S$3:$S$500,"4")</f>
        <v>1</v>
      </c>
      <c r="H56" s="27">
        <f>COUNTIFS(Hospitalización!$M$3:$M$500,"Hospitalización Quirurgicas",Hospitalización!$T$3:$T$500,"4")</f>
        <v>1</v>
      </c>
      <c r="I56" s="27">
        <f>COUNTIFS(Hospitalización!$M$3:$M$500,"Hospitalización Quirurgicas",Hospitalización!$U$3:$U$500,"4")</f>
        <v>1</v>
      </c>
      <c r="J56" s="27">
        <f>COUNTIFS(Hospitalización!$M$3:$M$500,"Hospitalización Quirurgicas",Hospitalización!$V$3:$V$500,"4")</f>
        <v>1</v>
      </c>
      <c r="K56" s="27">
        <f>COUNTIFS(Hospitalización!$M$3:$M$500,"Hospitalización Quirurgicas",Hospitalización!$W$3:$W$500,"4")</f>
        <v>1</v>
      </c>
      <c r="L56" s="27">
        <f>COUNTIFS(Hospitalización!$M$3:$M$500,"Hospitalización Quirurgicas",Hospitalización!$X$3:$X$500,"4")</f>
        <v>1</v>
      </c>
      <c r="M56" s="27">
        <f>COUNTIFS(Hospitalización!$M$3:$M$500,"Hospitalización Quirurgicas",Hospitalización!$Y$3:$Y$500,"4")</f>
        <v>1</v>
      </c>
    </row>
    <row r="57" spans="1:13">
      <c r="A57" s="77" t="s">
        <v>116</v>
      </c>
      <c r="B57" s="27">
        <f>COUNTIFS(Hospitalización!$M$3:$M$500,"Hospitalización Quirurgicas",Hospitalización!$N$3:$N$500,"3")</f>
        <v>0</v>
      </c>
      <c r="C57" s="27">
        <f>COUNTIFS(Hospitalización!$M$3:$M$500,"Hospitalización Quirurgicas",Hospitalización!$O$3:$O$500,"3")</f>
        <v>0</v>
      </c>
      <c r="D57" s="27">
        <f>COUNTIFS(Hospitalización!$M$3:$M$500,"Hospitalización Quirurgicas",Hospitalización!$P$3:$P$500,"3")</f>
        <v>0</v>
      </c>
      <c r="E57" s="27">
        <f>COUNTIFS(Hospitalización!$M$3:$M$500,"Hospitalización Quirurgicas",Hospitalización!$Q$3:$Q$500,"3")</f>
        <v>0</v>
      </c>
      <c r="F57" s="27">
        <f>COUNTIFS(Hospitalización!$M$3:$M$500,"Hospitalización Quirurgicas",Hospitalización!$R$3:$R$500,"3")</f>
        <v>0</v>
      </c>
      <c r="G57" s="27">
        <f>COUNTIFS(Hospitalización!$M$3:$M$500,"Hospitalización Quirurgicas",Hospitalización!$S$3:$S$500,"3")</f>
        <v>0</v>
      </c>
      <c r="H57" s="27">
        <f>COUNTIFS(Hospitalización!$M$3:$M$500,"Hospitalización Quirurgicas",Hospitalización!$T$3:$T$500,"3")</f>
        <v>0</v>
      </c>
      <c r="I57" s="27">
        <f>COUNTIFS(Hospitalización!$M$3:$M$500,"Hospitalización Quirurgicas",Hospitalización!$U$3:$U$500,"3")</f>
        <v>0</v>
      </c>
      <c r="J57" s="27">
        <f>COUNTIFS(Hospitalización!$M$3:$M$500,"Hospitalización Quirurgicas",Hospitalización!$V$3:$V$500,"3")</f>
        <v>0</v>
      </c>
      <c r="K57" s="27">
        <f>COUNTIFS(Hospitalización!$M$3:$M$500,"Hospitalización Quirurgicas",Hospitalización!$W$3:$W$500,"3")</f>
        <v>0</v>
      </c>
      <c r="L57" s="27">
        <f>COUNTIFS(Hospitalización!$M$3:$M$500,"Hospitalización Quirurgicas",Hospitalización!$X$3:$X$500,"3")</f>
        <v>0</v>
      </c>
      <c r="M57" s="27">
        <f>COUNTIFS(Hospitalización!$M$3:$M$500,"Hospitalización Quirurgicas",Hospitalización!$Y$3:$Y$500,"3")</f>
        <v>0</v>
      </c>
    </row>
    <row r="58" spans="1:13">
      <c r="A58" s="77" t="s">
        <v>117</v>
      </c>
      <c r="B58" s="27">
        <f>COUNTIFS(Hospitalización!$M$3:$M$500,"Hospitalización Quirurgicas",Hospitalización!$N$3:$N$500,"2")</f>
        <v>0</v>
      </c>
      <c r="C58" s="27">
        <f>COUNTIFS(Hospitalización!$M$3:$M$500,"Hospitalización Quirurgicas",Hospitalización!$O$3:$O$500,"2")</f>
        <v>0</v>
      </c>
      <c r="D58" s="27">
        <f>COUNTIFS(Hospitalización!$M$3:$M$500,"Hospitalización Quirurgicas",Hospitalización!$P$3:$P$500,"2")</f>
        <v>0</v>
      </c>
      <c r="E58" s="27">
        <f>COUNTIFS(Hospitalización!$M$3:$M$500,"Hospitalización Quirurgicas",Hospitalización!$Q$3:$Q$500,"2")</f>
        <v>0</v>
      </c>
      <c r="F58" s="27">
        <f>COUNTIFS(Hospitalización!$M$3:$M$500,"Hospitalización Quirurgicas",Hospitalización!$R$3:$R$500,"2")</f>
        <v>0</v>
      </c>
      <c r="G58" s="27">
        <f>COUNTIFS(Hospitalización!$M$3:$M$500,"Hospitalización Quirurgicas",Hospitalización!$S$3:$S$500,"2")</f>
        <v>0</v>
      </c>
      <c r="H58" s="27">
        <f>COUNTIFS(Hospitalización!$M$3:$M$500,"Hospitalización Quirurgicas",Hospitalización!$T$3:$T$500,"2")</f>
        <v>0</v>
      </c>
      <c r="I58" s="27">
        <f>COUNTIFS(Hospitalización!$M$3:$M$500,"Hospitalización Quirurgicas",Hospitalización!$U$3:$U$500,"2")</f>
        <v>0</v>
      </c>
      <c r="J58" s="27">
        <f>COUNTIFS(Hospitalización!$M$3:$M$500,"Hospitalización Quirurgicas",Hospitalización!$V$3:$V$500,"2")</f>
        <v>0</v>
      </c>
      <c r="K58" s="27">
        <f>COUNTIFS(Hospitalización!$M$3:$M$500,"Hospitalización Quirurgicas",Hospitalización!$W$3:$W$500,"2")</f>
        <v>0</v>
      </c>
      <c r="L58" s="27">
        <f>COUNTIFS(Hospitalización!$M$3:$M$500,"Hospitalización Quirurgicas",Hospitalización!$X$3:$X$500,"2")</f>
        <v>0</v>
      </c>
      <c r="M58" s="27">
        <f>COUNTIFS(Hospitalización!$M$3:$M$500,"Hospitalización Quirurgicas",Hospitalización!$Y$3:$Y$500,"2")</f>
        <v>0</v>
      </c>
    </row>
    <row r="59" spans="1:13">
      <c r="A59" s="77" t="s">
        <v>118</v>
      </c>
      <c r="B59" s="27">
        <f>COUNTIFS(Hospitalización!$M$3:$M$500,"Hospitalización Quirurgicas",Hospitalización!$N$3:$N$500,"1")</f>
        <v>0</v>
      </c>
      <c r="C59" s="27">
        <f>COUNTIFS(Hospitalización!$M$3:$M$500,"Hospitalización Quirurgicas",Hospitalización!$O$3:$O$500,"1")</f>
        <v>0</v>
      </c>
      <c r="D59" s="27">
        <f>COUNTIFS(Hospitalización!$M$3:$M$500,"Hospitalización Quirurgicas",Hospitalización!$P$3:$P$500,"1")</f>
        <v>0</v>
      </c>
      <c r="E59" s="27">
        <f>COUNTIFS(Hospitalización!$M$3:$M$500,"Hospitalización Quirurgicas",Hospitalización!$Q$3:$Q$500,"1")</f>
        <v>0</v>
      </c>
      <c r="F59" s="27">
        <f>COUNTIFS(Hospitalización!$M$3:$M$500,"Hospitalización Quirurgicas",Hospitalización!$R$3:$R$500,"1")</f>
        <v>0</v>
      </c>
      <c r="G59" s="27">
        <f>COUNTIFS(Hospitalización!$M$3:$M$500,"Hospitalización Quirurgicas",Hospitalización!$S$3:$S$500,"1")</f>
        <v>0</v>
      </c>
      <c r="H59" s="27">
        <f>COUNTIFS(Hospitalización!$M$3:$M$500,"Hospitalización Quirurgicas",Hospitalización!$T$3:$T$500,"1")</f>
        <v>0</v>
      </c>
      <c r="I59" s="27">
        <f>COUNTIFS(Hospitalización!$M$3:$M$500,"Hospitalización Quirurgicas",Hospitalización!$U$3:$U$500,"1")</f>
        <v>0</v>
      </c>
      <c r="J59" s="27">
        <f>COUNTIFS(Hospitalización!$M$3:$M$500,"Hospitalización Quirurgicas",Hospitalización!$V$3:$V$500,"1")</f>
        <v>0</v>
      </c>
      <c r="K59" s="27">
        <f>COUNTIFS(Hospitalización!$M$3:$M$500,"Hospitalización Quirurgicas",Hospitalización!$W$3:$W$500,"1")</f>
        <v>0</v>
      </c>
      <c r="L59" s="27">
        <f>COUNTIFS(Hospitalización!$M$3:$M$500,"Hospitalización Quirurgicas",Hospitalización!$X$3:$X$500,"1")</f>
        <v>0</v>
      </c>
      <c r="M59" s="27">
        <f>COUNTIFS(Hospitalización!$M$3:$M$500,"Hospitalización Quirurgicas",Hospitalización!$Y$3:$Y$500,"1")</f>
        <v>0</v>
      </c>
    </row>
    <row r="60" spans="1:13">
      <c r="B60" s="25">
        <f>SUM(B52:B59)</f>
        <v>7</v>
      </c>
      <c r="C60" s="25">
        <f t="shared" ref="C60:M60" si="4">SUM(C53:C59)</f>
        <v>7</v>
      </c>
      <c r="D60" s="25">
        <f t="shared" si="4"/>
        <v>7</v>
      </c>
      <c r="E60" s="25">
        <f t="shared" si="4"/>
        <v>7</v>
      </c>
      <c r="F60" s="25">
        <f t="shared" si="4"/>
        <v>7</v>
      </c>
      <c r="G60" s="25">
        <f t="shared" si="4"/>
        <v>7</v>
      </c>
      <c r="H60" s="25">
        <f t="shared" si="4"/>
        <v>7</v>
      </c>
      <c r="I60" s="25">
        <f t="shared" si="4"/>
        <v>7</v>
      </c>
      <c r="J60" s="25">
        <f t="shared" si="4"/>
        <v>7</v>
      </c>
      <c r="K60" s="25">
        <f t="shared" si="4"/>
        <v>7</v>
      </c>
      <c r="L60" s="25">
        <f t="shared" si="4"/>
        <v>7</v>
      </c>
      <c r="M60" s="25">
        <f t="shared" si="4"/>
        <v>7</v>
      </c>
    </row>
    <row r="63" spans="1:13" ht="35.4" customHeight="1">
      <c r="B63" s="190" t="s">
        <v>146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</row>
    <row r="64" spans="1:13" ht="36">
      <c r="B64" s="91" t="s">
        <v>119</v>
      </c>
      <c r="C64" s="91" t="s">
        <v>120</v>
      </c>
      <c r="D64" s="91" t="s">
        <v>121</v>
      </c>
      <c r="E64" s="91" t="s">
        <v>122</v>
      </c>
      <c r="F64" s="91" t="s">
        <v>123</v>
      </c>
      <c r="G64" s="91" t="s">
        <v>124</v>
      </c>
      <c r="H64" s="91" t="s">
        <v>125</v>
      </c>
      <c r="I64" s="91" t="s">
        <v>126</v>
      </c>
      <c r="J64" s="91" t="s">
        <v>127</v>
      </c>
      <c r="K64" s="91" t="s">
        <v>128</v>
      </c>
      <c r="L64" s="91" t="s">
        <v>129</v>
      </c>
      <c r="M64" s="91" t="s">
        <v>130</v>
      </c>
    </row>
    <row r="65" spans="1:13">
      <c r="A65" s="5" t="s">
        <v>111</v>
      </c>
      <c r="B65" s="27">
        <f>COUNTIFS(Hospitalización!$M$3:$M$500,"Unidades de cuidados intensivos",Hospitalización!$N$3:$N$500,"8")</f>
        <v>0</v>
      </c>
      <c r="C65" s="27">
        <f>COUNTIFS(Hospitalización!$M$3:$M$500,"Unidades de cuidados intensivos",Hospitalización!$O$3:$O$500,"8")</f>
        <v>0</v>
      </c>
      <c r="D65" s="27">
        <f>COUNTIFS(Hospitalización!$M$3:$M$500,"Unidades de cuidados intensivos",Hospitalización!$P$3:$P$500,"8")</f>
        <v>0</v>
      </c>
      <c r="E65" s="27">
        <f>COUNTIFS(Hospitalización!$M$3:$M$500,"Unidades de cuidados intensivos",Hospitalización!$Q$3:$Q$500,"8")</f>
        <v>0</v>
      </c>
      <c r="F65" s="27">
        <f>COUNTIFS(Hospitalización!$M$3:$M$500,"Unidades de cuidados intensivos",Hospitalización!$R$3:$R$500,"8")</f>
        <v>0</v>
      </c>
      <c r="G65" s="27">
        <f>COUNTIFS(Hospitalización!$M$3:$M$500,"Unidades de cuidados intensivos",Hospitalización!$S$3:$S$500,"8")</f>
        <v>0</v>
      </c>
      <c r="H65" s="27">
        <f>COUNTIFS(Hospitalización!$M$3:$M$500,"Unidades de cuidados intensivos",Hospitalización!$T$3:$T$500,"8")</f>
        <v>0</v>
      </c>
      <c r="I65" s="27">
        <f>COUNTIFS(Hospitalización!$M$3:$M$500,"Unidades de cuidados intensivos",Hospitalización!$U$3:$U$500,"8")</f>
        <v>0</v>
      </c>
      <c r="J65" s="27">
        <f>COUNTIFS(Hospitalización!$M$3:$M$500,"Unidades de cuidados intensivos",Hospitalización!$V$3:$V$500,"8")</f>
        <v>0</v>
      </c>
      <c r="K65" s="27">
        <f>COUNTIFS(Hospitalización!$M$3:$M$500,"Unidades de cuidados intensivos",Hospitalización!$W$3:$W$500,"8")</f>
        <v>0</v>
      </c>
      <c r="L65" s="27">
        <f>COUNTIFS(Hospitalización!$M$3:$M$500,"Unidades de cuidados intensivos",Hospitalización!$X$3:$X$500,"8")</f>
        <v>0</v>
      </c>
      <c r="M65" s="27">
        <f>COUNTIFS(Hospitalización!$M$3:$M$500,"Unidades de cuidados intensivos",Hospitalización!$Y$3:$Y$500,"8")</f>
        <v>0</v>
      </c>
    </row>
    <row r="66" spans="1:13">
      <c r="A66" s="5" t="s">
        <v>112</v>
      </c>
      <c r="B66" s="27">
        <f>COUNTIFS(Hospitalización!$M$3:$M$500,"Unidades de cuidados intensivos",Hospitalización!$N$3:$N$500,"7")</f>
        <v>0</v>
      </c>
      <c r="C66" s="27">
        <f>COUNTIFS(Hospitalización!$M$3:$M$500,"Unidades de cuidados intensivos",Hospitalización!$O$3:$O$500,"7")</f>
        <v>0</v>
      </c>
      <c r="D66" s="27">
        <f>COUNTIFS(Hospitalización!$M$3:$M$500,"Unidades de cuidados intensivos",Hospitalización!$P$3:$P$500,"7")</f>
        <v>0</v>
      </c>
      <c r="E66" s="27">
        <f>COUNTIFS(Hospitalización!$M$3:$M$500,"Unidades de cuidados intensivos",Hospitalización!$Q$3:$Q$500,"7")</f>
        <v>0</v>
      </c>
      <c r="F66" s="27">
        <f>COUNTIFS(Hospitalización!$M$3:$M$500,"Unidades de cuidados intensivos",Hospitalización!$R$3:$R$500,"7")</f>
        <v>0</v>
      </c>
      <c r="G66" s="27">
        <f>COUNTIFS(Hospitalización!$M$3:$M$500,"Unidades de cuidados intensivos",Hospitalización!$S$3:$S$500,"7")</f>
        <v>0</v>
      </c>
      <c r="H66" s="27">
        <f>COUNTIFS(Hospitalización!$M$3:$M$500,"Unidades de cuidados intensivos",Hospitalización!$T$3:$T$500,"7")</f>
        <v>0</v>
      </c>
      <c r="I66" s="27">
        <f>COUNTIFS(Hospitalización!$M$3:$M$500,"Unidades de cuidados intensivos",Hospitalización!$U$3:$U$500,"7")</f>
        <v>0</v>
      </c>
      <c r="J66" s="27">
        <f>COUNTIFS(Hospitalización!$M$3:$M$500,"Unidades de cuidados intensivos",Hospitalización!$V$3:$V$500,"7")</f>
        <v>0</v>
      </c>
      <c r="K66" s="27">
        <f>COUNTIFS(Hospitalización!$M$3:$M$500,"Unidades de cuidados intensivos",Hospitalización!$W$3:$W$500,"7")</f>
        <v>0</v>
      </c>
      <c r="L66" s="27">
        <f>COUNTIFS(Hospitalización!$M$3:$M$500,"Unidades de cuidados intensivos",Hospitalización!$X$3:$X$500,"7")</f>
        <v>0</v>
      </c>
      <c r="M66" s="27">
        <f>COUNTIFS(Hospitalización!$M$3:$M$500,"Unidades de cuidados intensivos",Hospitalización!$Y$3:$Y$500,"7")</f>
        <v>0</v>
      </c>
    </row>
    <row r="67" spans="1:13">
      <c r="A67" s="77" t="s">
        <v>113</v>
      </c>
      <c r="B67" s="27">
        <f>COUNTIFS(Hospitalización!$M$3:$M$500,"Unidades de cuidados intensivos",Hospitalización!$N$3:$N$500,"6")</f>
        <v>0</v>
      </c>
      <c r="C67" s="27">
        <f>COUNTIFS(Hospitalización!$M$3:$M$500,"Unidades de cuidados intensivos",Hospitalización!$O$3:$O$500,"6")</f>
        <v>0</v>
      </c>
      <c r="D67" s="27">
        <f>COUNTIFS(Hospitalización!$M$3:$M$500,"Unidades de cuidados intensivos",Hospitalización!$P$3:$P$500,"6")</f>
        <v>0</v>
      </c>
      <c r="E67" s="27">
        <f>COUNTIFS(Hospitalización!$M$3:$M$500,"Unidades de cuidados intensivos",Hospitalización!$Q$3:$Q$500,"6")</f>
        <v>0</v>
      </c>
      <c r="F67" s="27">
        <f>COUNTIFS(Hospitalización!$M$3:$M$500,"Unidades de cuidados intensivos",Hospitalización!$R$3:$R$500,"6")</f>
        <v>0</v>
      </c>
      <c r="G67" s="27">
        <f>COUNTIFS(Hospitalización!$M$3:$M$500,"Unidades de cuidados intensivos",Hospitalización!$S$3:$S$500,"6")</f>
        <v>0</v>
      </c>
      <c r="H67" s="27">
        <f>COUNTIFS(Hospitalización!$M$3:$M$500,"Unidades de cuidados intensivos",Hospitalización!$T$3:$T$500,"6")</f>
        <v>0</v>
      </c>
      <c r="I67" s="27">
        <f>COUNTIFS(Hospitalización!$M$3:$M$500,"Unidades de cuidados intensivos",Hospitalización!$U$3:$U$500,"6")</f>
        <v>0</v>
      </c>
      <c r="J67" s="27">
        <f>COUNTIFS(Hospitalización!$M$3:$M$500,"Unidades de cuidados intensivos",Hospitalización!$V$3:$V$500,"6")</f>
        <v>0</v>
      </c>
      <c r="K67" s="27">
        <f>COUNTIFS(Hospitalización!$M$3:$M$500,"Unidades de cuidados intensivos",Hospitalización!$W$3:$W$500,"6")</f>
        <v>0</v>
      </c>
      <c r="L67" s="27">
        <f>COUNTIFS(Hospitalización!$M$3:$M$500,"Unidades de cuidados intensivos",Hospitalización!$X$3:$X$500,"6")</f>
        <v>0</v>
      </c>
      <c r="M67" s="27">
        <f>COUNTIFS(Hospitalización!$M$3:$M$500,"Unidades de cuidados intensivos",Hospitalización!$Y$3:$Y$500,"6")</f>
        <v>0</v>
      </c>
    </row>
    <row r="68" spans="1:13">
      <c r="A68" s="77" t="s">
        <v>114</v>
      </c>
      <c r="B68" s="27">
        <f>COUNTIFS(Hospitalización!$M$3:$M$500,"Unidades de cuidados intensivos",Hospitalización!$N$3:$N$500,"5")</f>
        <v>6</v>
      </c>
      <c r="C68" s="27">
        <f>COUNTIFS(Hospitalización!$M$3:$M$500,"Unidades de cuidados intensivos",Hospitalización!$O$3:$O$500,"5")</f>
        <v>6</v>
      </c>
      <c r="D68" s="27">
        <f>COUNTIFS(Hospitalización!$M$3:$M$500,"Unidades de cuidados intensivos",Hospitalización!$P$3:$P$500,"5")</f>
        <v>6</v>
      </c>
      <c r="E68" s="27">
        <f>COUNTIFS(Hospitalización!$M$3:$M$500,"Unidades de cuidados intensivos",Hospitalización!$Q$3:$Q$500,"5")</f>
        <v>6</v>
      </c>
      <c r="F68" s="27">
        <f>COUNTIFS(Hospitalización!$M$3:$M$500,"Unidades de cuidados intensivos",Hospitalización!$R$3:$R$500,"5")</f>
        <v>6</v>
      </c>
      <c r="G68" s="27">
        <f>COUNTIFS(Hospitalización!$M$3:$M$500,"Unidades de cuidados intensivos",Hospitalización!$S$3:$S$500,"5")</f>
        <v>6</v>
      </c>
      <c r="H68" s="27">
        <f>COUNTIFS(Hospitalización!$M$3:$M$500,"Unidades de cuidados intensivos",Hospitalización!$T$3:$T$500,"5")</f>
        <v>6</v>
      </c>
      <c r="I68" s="27">
        <f>COUNTIFS(Hospitalización!$M$3:$M$500,"Unidades de cuidados intensivos",Hospitalización!$U$3:$U$500,"5")</f>
        <v>6</v>
      </c>
      <c r="J68" s="27">
        <f>COUNTIFS(Hospitalización!$M$3:$M$500,"Unidades de cuidados intensivos",Hospitalización!$V$3:$V$500,"5")</f>
        <v>6</v>
      </c>
      <c r="K68" s="27">
        <f>COUNTIFS(Hospitalización!$M$3:$M$500,"Unidades de cuidados intensivos",Hospitalización!$W$3:$W$500,"5")</f>
        <v>6</v>
      </c>
      <c r="L68" s="27">
        <f>COUNTIFS(Hospitalización!$M$3:$M$500,"Unidades de cuidados intensivos",Hospitalización!$X$3:$X$500,"5")</f>
        <v>6</v>
      </c>
      <c r="M68" s="27">
        <f>COUNTIFS(Hospitalización!$M$3:$M$500,"Unidades de cuidados intensivos",Hospitalización!$Y$3:$Y$500,"5")</f>
        <v>6</v>
      </c>
    </row>
    <row r="69" spans="1:13">
      <c r="A69" s="77" t="s">
        <v>115</v>
      </c>
      <c r="B69" s="27">
        <f>COUNTIFS(Hospitalización!$M$3:$M$500,"Unidades de cuidados intensivos",Hospitalización!$N$3:$N$500,"4")</f>
        <v>1</v>
      </c>
      <c r="C69" s="27">
        <f>COUNTIFS(Hospitalización!$M$3:$M$500,"Unidades de cuidados intensivos",Hospitalización!$O$3:$O$500,"4")</f>
        <v>1</v>
      </c>
      <c r="D69" s="27">
        <f>COUNTIFS(Hospitalización!$M$3:$M$500,"Unidades de cuidados intensivos",Hospitalización!$P$3:$P$500,"4")</f>
        <v>1</v>
      </c>
      <c r="E69" s="27">
        <f>COUNTIFS(Hospitalización!$M$3:$M$500,"Unidades de cuidados intensivos",Hospitalización!$Q$3:$Q$500,"4")</f>
        <v>1</v>
      </c>
      <c r="F69" s="27">
        <f>COUNTIFS(Hospitalización!$M$3:$M$500,"Unidades de cuidados intensivos",Hospitalización!$R$3:$R$500,"4")</f>
        <v>1</v>
      </c>
      <c r="G69" s="27">
        <f>COUNTIFS(Hospitalización!$M$3:$M$500,"Unidades de cuidados intensivos",Hospitalización!$S$3:$S$500,"4")</f>
        <v>1</v>
      </c>
      <c r="H69" s="27">
        <f>COUNTIFS(Hospitalización!$M$3:$M$500,"Unidades de cuidados intensivos",Hospitalización!$T$3:$T$500,"4")</f>
        <v>1</v>
      </c>
      <c r="I69" s="27">
        <f>COUNTIFS(Hospitalización!$M$3:$M$500,"Unidades de cuidados intensivos",Hospitalización!$U$3:$U$500,"4")</f>
        <v>1</v>
      </c>
      <c r="J69" s="27">
        <f>COUNTIFS(Hospitalización!$M$3:$M$500,"Unidades de cuidados intensivos",Hospitalización!$V$3:$V$500,"4")</f>
        <v>1</v>
      </c>
      <c r="K69" s="27">
        <f>COUNTIFS(Hospitalización!$M$3:$M$500,"Unidades de cuidados intensivos",Hospitalización!$W$3:$W$500,"4")</f>
        <v>1</v>
      </c>
      <c r="L69" s="27">
        <f>COUNTIFS(Hospitalización!$M$3:$M$500,"Unidades de cuidados intensivos",Hospitalización!$X$3:$X$500,"4")</f>
        <v>1</v>
      </c>
      <c r="M69" s="27">
        <f>COUNTIFS(Hospitalización!$M$3:$M$500,"Unidades de cuidados intensivos",Hospitalización!$Y$3:$Y$500,"4")</f>
        <v>1</v>
      </c>
    </row>
    <row r="70" spans="1:13">
      <c r="A70" s="77" t="s">
        <v>116</v>
      </c>
      <c r="B70" s="27">
        <f>COUNTIFS(Hospitalización!$M$3:$M$500,"Unidades de cuidados intensivos",Hospitalización!$N$3:$N$500,"3")</f>
        <v>0</v>
      </c>
      <c r="C70" s="27">
        <f>COUNTIFS(Hospitalización!$M$3:$M$500,"Unidades de cuidados intensivos",Hospitalización!$O$3:$O$500,"3")</f>
        <v>0</v>
      </c>
      <c r="D70" s="27">
        <f>COUNTIFS(Hospitalización!$M$3:$M$500,"Unidades de cuidados intensivos",Hospitalización!$P$3:$P$500,"3")</f>
        <v>0</v>
      </c>
      <c r="E70" s="27">
        <f>COUNTIFS(Hospitalización!$M$3:$M$500,"Unidades de cuidados intensivos",Hospitalización!$Q$3:$Q$500,"3")</f>
        <v>0</v>
      </c>
      <c r="F70" s="27">
        <f>COUNTIFS(Hospitalización!$M$3:$M$500,"Unidades de cuidados intensivos",Hospitalización!$R$3:$R$500,"3")</f>
        <v>0</v>
      </c>
      <c r="G70" s="27">
        <f>COUNTIFS(Hospitalización!$M$3:$M$500,"Unidades de cuidados intensivos",Hospitalización!$S$3:$S$500,"3")</f>
        <v>0</v>
      </c>
      <c r="H70" s="27">
        <f>COUNTIFS(Hospitalización!$M$3:$M$500,"Unidades de cuidados intensivos",Hospitalización!$T$3:$T$500,"3")</f>
        <v>0</v>
      </c>
      <c r="I70" s="27">
        <f>COUNTIFS(Hospitalización!$M$3:$M$500,"Unidades de cuidados intensivos",Hospitalización!$U$3:$U$500,"3")</f>
        <v>0</v>
      </c>
      <c r="J70" s="27">
        <f>COUNTIFS(Hospitalización!$M$3:$M$500,"Unidades de cuidados intensivos",Hospitalización!$V$3:$V$500,"3")</f>
        <v>0</v>
      </c>
      <c r="K70" s="27">
        <f>COUNTIFS(Hospitalización!$M$3:$M$500,"Unidades de cuidados intensivos",Hospitalización!$W$3:$W$500,"3")</f>
        <v>0</v>
      </c>
      <c r="L70" s="27">
        <f>COUNTIFS(Hospitalización!$M$3:$M$500,"Unidades de cuidados intensivos",Hospitalización!$X$3:$X$500,"3")</f>
        <v>0</v>
      </c>
      <c r="M70" s="27">
        <f>COUNTIFS(Hospitalización!$M$3:$M$500,"Unidades de cuidados intensivos",Hospitalización!$Y$3:$Y$500,"3")</f>
        <v>0</v>
      </c>
    </row>
    <row r="71" spans="1:13">
      <c r="A71" s="77" t="s">
        <v>117</v>
      </c>
      <c r="B71" s="27">
        <f>COUNTIFS(Hospitalización!$M$3:$M$500,"Unidades de cuidados intensivos",Hospitalización!$N$3:$N$500,"2")</f>
        <v>0</v>
      </c>
      <c r="C71" s="27">
        <f>COUNTIFS(Hospitalización!$M$3:$M$500,"Unidades de cuidados intensivos",Hospitalización!$O$3:$O$500,"2")</f>
        <v>0</v>
      </c>
      <c r="D71" s="27">
        <f>COUNTIFS(Hospitalización!$M$3:$M$500,"Unidades de cuidados intensivos",Hospitalización!$P$3:$P$500,"2")</f>
        <v>0</v>
      </c>
      <c r="E71" s="27">
        <f>COUNTIFS(Hospitalización!$M$3:$M$500,"Unidades de cuidados intensivos",Hospitalización!$Q$3:$Q$500,"2")</f>
        <v>0</v>
      </c>
      <c r="F71" s="27">
        <f>COUNTIFS(Hospitalización!$M$3:$M$500,"Unidades de cuidados intensivos",Hospitalización!$R$3:$R$500,"2")</f>
        <v>0</v>
      </c>
      <c r="G71" s="27">
        <f>COUNTIFS(Hospitalización!$M$3:$M$500,"Unidades de cuidados intensivos",Hospitalización!$S$3:$S$500,"2")</f>
        <v>0</v>
      </c>
      <c r="H71" s="27">
        <f>COUNTIFS(Hospitalización!$M$3:$M$500,"Unidades de cuidados intensivos",Hospitalización!$T$3:$T$500,"2")</f>
        <v>0</v>
      </c>
      <c r="I71" s="27">
        <f>COUNTIFS(Hospitalización!$M$3:$M$500,"Unidades de cuidados intensivos",Hospitalización!$U$3:$U$500,"2")</f>
        <v>0</v>
      </c>
      <c r="J71" s="27">
        <f>COUNTIFS(Hospitalización!$M$3:$M$500,"Unidades de cuidados intensivos",Hospitalización!$V$3:$V$500,"2")</f>
        <v>0</v>
      </c>
      <c r="K71" s="27">
        <f>COUNTIFS(Hospitalización!$M$3:$M$500,"Unidades de cuidados intensivos",Hospitalización!$W$3:$W$500,"2")</f>
        <v>0</v>
      </c>
      <c r="L71" s="27">
        <f>COUNTIFS(Hospitalización!$M$3:$M$500,"Unidades de cuidados intensivos",Hospitalización!$X$3:$X$500,"2")</f>
        <v>0</v>
      </c>
      <c r="M71" s="27">
        <f>COUNTIFS(Hospitalización!$M$3:$M$500,"Unidades de cuidados intensivos",Hospitalización!$Y$3:$Y$500,"2")</f>
        <v>0</v>
      </c>
    </row>
    <row r="72" spans="1:13">
      <c r="A72" s="77" t="s">
        <v>118</v>
      </c>
      <c r="B72" s="27">
        <f>COUNTIFS(Hospitalización!$M$3:$M$500,"Unidades de cuidados intensivos",Hospitalización!$N$3:$N$500,"1")</f>
        <v>0</v>
      </c>
      <c r="C72" s="27">
        <f>COUNTIFS(Hospitalización!$M$3:$M$500,"Unidades de cuidados intensivos",Hospitalización!$O$3:$O$500,"1")</f>
        <v>0</v>
      </c>
      <c r="D72" s="27">
        <f>COUNTIFS(Hospitalización!$M$3:$M$500,"Unidades de cuidados intensivos",Hospitalización!$P$3:$P$500,"1")</f>
        <v>0</v>
      </c>
      <c r="E72" s="27">
        <f>COUNTIFS(Hospitalización!$M$3:$M$500,"Unidades de cuidados intensivos",Hospitalización!$Q$3:$Q$500,"1")</f>
        <v>0</v>
      </c>
      <c r="F72" s="27">
        <f>COUNTIFS(Hospitalización!$M$3:$M$500,"Unidades de cuidados intensivos",Hospitalización!$R$3:$R$500,"1")</f>
        <v>0</v>
      </c>
      <c r="G72" s="27">
        <f>COUNTIFS(Hospitalización!$M$3:$M$500,"Unidades de cuidados intensivos",Hospitalización!$S$3:$S$500,"1")</f>
        <v>0</v>
      </c>
      <c r="H72" s="27">
        <f>COUNTIFS(Hospitalización!$M$3:$M$500,"Unidades de cuidados intensivos",Hospitalización!$T$3:$T$500,"1")</f>
        <v>0</v>
      </c>
      <c r="I72" s="27">
        <f>COUNTIFS(Hospitalización!$M$3:$M$500,"Unidades de cuidados intensivos",Hospitalización!$U$3:$U$500,"1")</f>
        <v>0</v>
      </c>
      <c r="J72" s="27">
        <f>COUNTIFS(Hospitalización!$M$3:$M$500,"Unidades de cuidados intensivos",Hospitalización!$V$3:$V$500,"1")</f>
        <v>0</v>
      </c>
      <c r="K72" s="27">
        <f>COUNTIFS(Hospitalización!$M$3:$M$500,"Unidades de cuidados intensivos",Hospitalización!$W$3:$W$500,"1")</f>
        <v>0</v>
      </c>
      <c r="L72" s="27">
        <f>COUNTIFS(Hospitalización!$M$3:$M$500,"Unidades de cuidados intensivos",Hospitalización!$X$3:$X$500,"1")</f>
        <v>0</v>
      </c>
      <c r="M72" s="27">
        <f>COUNTIFS(Hospitalización!$M$3:$M$500,"Unidades de cuidados intensivos",Hospitalización!$Y$3:$Y$500,"1")</f>
        <v>0</v>
      </c>
    </row>
    <row r="73" spans="1:13">
      <c r="B73" s="25">
        <f>SUM(B65:B72)</f>
        <v>7</v>
      </c>
      <c r="C73" s="25">
        <f t="shared" ref="C73:M73" si="5">SUM(C66:C72)</f>
        <v>7</v>
      </c>
      <c r="D73" s="25">
        <f t="shared" si="5"/>
        <v>7</v>
      </c>
      <c r="E73" s="25">
        <f t="shared" si="5"/>
        <v>7</v>
      </c>
      <c r="F73" s="25">
        <f t="shared" si="5"/>
        <v>7</v>
      </c>
      <c r="G73" s="25">
        <f t="shared" si="5"/>
        <v>7</v>
      </c>
      <c r="H73" s="25">
        <f t="shared" si="5"/>
        <v>7</v>
      </c>
      <c r="I73" s="25">
        <f t="shared" si="5"/>
        <v>7</v>
      </c>
      <c r="J73" s="25">
        <f t="shared" si="5"/>
        <v>7</v>
      </c>
      <c r="K73" s="25">
        <f t="shared" si="5"/>
        <v>7</v>
      </c>
      <c r="L73" s="25">
        <f t="shared" si="5"/>
        <v>7</v>
      </c>
      <c r="M73" s="25">
        <f t="shared" si="5"/>
        <v>7</v>
      </c>
    </row>
    <row r="77" spans="1:13" ht="35.4" customHeight="1">
      <c r="B77" s="191" t="s">
        <v>147</v>
      </c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</row>
    <row r="78" spans="1:13" ht="36">
      <c r="B78" s="91" t="s">
        <v>119</v>
      </c>
      <c r="C78" s="91" t="s">
        <v>120</v>
      </c>
      <c r="D78" s="91" t="s">
        <v>121</v>
      </c>
      <c r="E78" s="91" t="s">
        <v>122</v>
      </c>
      <c r="F78" s="91" t="s">
        <v>123</v>
      </c>
      <c r="G78" s="91" t="s">
        <v>124</v>
      </c>
      <c r="H78" s="91" t="s">
        <v>125</v>
      </c>
      <c r="I78" s="91" t="s">
        <v>126</v>
      </c>
      <c r="J78" s="91" t="s">
        <v>127</v>
      </c>
      <c r="K78" s="91" t="s">
        <v>128</v>
      </c>
      <c r="L78" s="91" t="s">
        <v>129</v>
      </c>
      <c r="M78" s="91" t="s">
        <v>130</v>
      </c>
    </row>
    <row r="79" spans="1:13">
      <c r="A79" s="5" t="s">
        <v>111</v>
      </c>
      <c r="B79" s="27">
        <f>COUNTIFS(Hospitalización!$M$3:$M$500,"Cirugía",Hospitalización!$N$3:$N$500,"8")</f>
        <v>0</v>
      </c>
      <c r="C79" s="27">
        <f>COUNTIFS(Hospitalización!$M$3:$M$500,"Cirugía",Hospitalización!$O$3:$O$500,"8")</f>
        <v>0</v>
      </c>
      <c r="D79" s="27">
        <f>COUNTIFS(Hospitalización!$M$3:$M$500,"Cirugía",Hospitalización!$P$3:$P$500,"8")</f>
        <v>0</v>
      </c>
      <c r="E79" s="27">
        <f>COUNTIFS(Hospitalización!$M$3:$M$500,"Cirugía",Hospitalización!$Q$3:$Q$500,"8")</f>
        <v>0</v>
      </c>
      <c r="F79" s="27">
        <f>COUNTIFS(Hospitalización!$M$3:$M$500,"Cirugía",Hospitalización!$R$3:$R$500,"8")</f>
        <v>0</v>
      </c>
      <c r="G79" s="27">
        <f>COUNTIFS(Hospitalización!$M$3:$M$500,"Cirugía",Hospitalización!$S$3:$S$500,"8")</f>
        <v>0</v>
      </c>
      <c r="H79" s="27">
        <f>COUNTIFS(Hospitalización!$M$3:$M$500,"Cirugía",Hospitalización!$T$3:$T$500,"8")</f>
        <v>0</v>
      </c>
      <c r="I79" s="27">
        <f>COUNTIFS(Hospitalización!$M$3:$M$500,"Cirugía",Hospitalización!$U$3:$U$500,"8")</f>
        <v>0</v>
      </c>
      <c r="J79" s="27">
        <f>COUNTIFS(Hospitalización!$M$3:$M$500,"Cirugía",Hospitalización!$V$3:$V$500,"8")</f>
        <v>0</v>
      </c>
      <c r="K79" s="27">
        <f>COUNTIFS(Hospitalización!$M$3:$M$500,"Cirugía",Hospitalización!$W$3:$W$500,"8")</f>
        <v>0</v>
      </c>
      <c r="L79" s="27">
        <f>COUNTIFS(Hospitalización!$M$3:$M$500,"Cirugía",Hospitalización!$X$3:$X$500,"8")</f>
        <v>0</v>
      </c>
      <c r="M79" s="27">
        <f>COUNTIFS(Hospitalización!$M$3:$M$500,"Cirugía",Hospitalización!$Y$3:$Y$500,"8")</f>
        <v>0</v>
      </c>
    </row>
    <row r="80" spans="1:13">
      <c r="A80" s="5" t="s">
        <v>112</v>
      </c>
      <c r="B80" s="27">
        <f>COUNTIFS(Hospitalización!$M$3:$M$500,"Cirugía",Hospitalización!$N$3:$N$500,"7")</f>
        <v>0</v>
      </c>
      <c r="C80" s="27">
        <f>COUNTIFS(Hospitalización!$M$3:$M$500,"Cirugía",Hospitalización!$O$3:$O$500,"7")</f>
        <v>0</v>
      </c>
      <c r="D80" s="27">
        <f>COUNTIFS(Hospitalización!$M$3:$M$500,"Cirugía",Hospitalización!$P$3:$P$500,"7")</f>
        <v>0</v>
      </c>
      <c r="E80" s="27">
        <f>COUNTIFS(Hospitalización!$M$3:$M$500,"Cirugía",Hospitalización!$Q$3:$Q$500,"7")</f>
        <v>0</v>
      </c>
      <c r="F80" s="27">
        <f>COUNTIFS(Hospitalización!$M$3:$M$500,"Cirugía",Hospitalización!$R$3:$R$500,"7")</f>
        <v>0</v>
      </c>
      <c r="G80" s="27">
        <f>COUNTIFS(Hospitalización!$M$3:$M$500,"Cirugía",Hospitalización!$S$3:$S$500,"7")</f>
        <v>0</v>
      </c>
      <c r="H80" s="27">
        <f>COUNTIFS(Hospitalización!$M$3:$M$500,"Cirugía",Hospitalización!$T$3:$T$500,"7")</f>
        <v>0</v>
      </c>
      <c r="I80" s="27">
        <f>COUNTIFS(Hospitalización!$M$3:$M$500,"Cirugía",Hospitalización!$U$3:$U$500,"7")</f>
        <v>0</v>
      </c>
      <c r="J80" s="27">
        <f>COUNTIFS(Hospitalización!$M$3:$M$500,"Cirugía",Hospitalización!$V$3:$V$500,"7")</f>
        <v>0</v>
      </c>
      <c r="K80" s="27">
        <f>COUNTIFS(Hospitalización!$M$3:$M$500,"Cirugía",Hospitalización!$W$3:$W$500,"7")</f>
        <v>0</v>
      </c>
      <c r="L80" s="27">
        <f>COUNTIFS(Hospitalización!$M$3:$M$500,"Cirugía",Hospitalización!$X$3:$X$500,"7")</f>
        <v>0</v>
      </c>
      <c r="M80" s="27">
        <f>COUNTIFS(Hospitalización!$M$3:$M$500,"Cirugía",Hospitalización!$Y$3:$Y$500,"7")</f>
        <v>0</v>
      </c>
    </row>
    <row r="81" spans="1:16">
      <c r="A81" s="77" t="s">
        <v>113</v>
      </c>
      <c r="B81" s="27">
        <f>COUNTIFS(Hospitalización!$M$3:$M$500,"Cirugía",Hospitalización!$N$3:$N$500,"6")</f>
        <v>0</v>
      </c>
      <c r="C81" s="27">
        <f>COUNTIFS(Hospitalización!$M$3:$M$500,"Cirugía",Hospitalización!$O$3:$O$500,"6")</f>
        <v>0</v>
      </c>
      <c r="D81" s="27">
        <f>COUNTIFS(Hospitalización!$M$3:$M$500,"Cirugía",Hospitalización!$P$3:$P$500,"6")</f>
        <v>0</v>
      </c>
      <c r="E81" s="27">
        <f>COUNTIFS(Hospitalización!$M$3:$M$500,"Cirugía",Hospitalización!$Q$3:$Q$500,"6")</f>
        <v>0</v>
      </c>
      <c r="F81" s="27">
        <f>COUNTIFS(Hospitalización!$M$3:$M$500,"Cirugía",Hospitalización!$R$3:$R$500,"6")</f>
        <v>0</v>
      </c>
      <c r="G81" s="27">
        <f>COUNTIFS(Hospitalización!$M$3:$M$500,"Cirugía",Hospitalización!$S$3:$S$500,"6")</f>
        <v>6</v>
      </c>
      <c r="H81" s="27">
        <f>COUNTIFS(Hospitalización!$M$3:$M$500,"Cirugía",Hospitalización!$T$3:$T$500,"6")</f>
        <v>6</v>
      </c>
      <c r="I81" s="27">
        <f>COUNTIFS(Hospitalización!$M$3:$M$500,"Cirugía",Hospitalización!$U$3:$U$500,"6")</f>
        <v>5</v>
      </c>
      <c r="J81" s="27">
        <f>COUNTIFS(Hospitalización!$M$3:$M$500,"Cirugía",Hospitalización!$V$3:$V$500,"6")</f>
        <v>0</v>
      </c>
      <c r="K81" s="27">
        <f>COUNTIFS(Hospitalización!$M$3:$M$500,"Cirugía",Hospitalización!$W$3:$W$500,"6")</f>
        <v>3</v>
      </c>
      <c r="L81" s="27">
        <f>COUNTIFS(Hospitalización!$M$3:$M$500,"Cirugía",Hospitalización!$X$3:$X$500,"6")</f>
        <v>7</v>
      </c>
      <c r="M81" s="27">
        <f>COUNTIFS(Hospitalización!$M$3:$M$500,"Cirugía",Hospitalización!$Y$3:$Y$500,"6")</f>
        <v>5</v>
      </c>
    </row>
    <row r="82" spans="1:16">
      <c r="A82" s="77" t="s">
        <v>114</v>
      </c>
      <c r="B82" s="27">
        <f>COUNTIFS(Hospitalización!$M$3:$M$500,"Cirugía",Hospitalización!$N$3:$N$500,"5")</f>
        <v>7</v>
      </c>
      <c r="C82" s="27">
        <f>COUNTIFS(Hospitalización!$M$3:$M$500,"Cirugía",Hospitalización!$O$3:$O$500,"5")</f>
        <v>7</v>
      </c>
      <c r="D82" s="27">
        <f>COUNTIFS(Hospitalización!$M$3:$M$500,"Cirugía",Hospitalización!$P$3:$P$500,"5")</f>
        <v>7</v>
      </c>
      <c r="E82" s="27">
        <f>COUNTIFS(Hospitalización!$M$3:$M$500,"Cirugía",Hospitalización!$Q$3:$Q$500,"5")</f>
        <v>7</v>
      </c>
      <c r="F82" s="27">
        <f>COUNTIFS(Hospitalización!$M$3:$M$500,"Cirugía",Hospitalización!$R$3:$R$500,"5")</f>
        <v>7</v>
      </c>
      <c r="G82" s="27">
        <f>COUNTIFS(Hospitalización!$M$3:$M$500,"Cirugía",Hospitalización!$S$3:$S$500,"5")</f>
        <v>1</v>
      </c>
      <c r="H82" s="27">
        <f>COUNTIFS(Hospitalización!$M$3:$M$500,"Cirugía",Hospitalización!$T$3:$T$500,"5")</f>
        <v>1</v>
      </c>
      <c r="I82" s="27">
        <f>COUNTIFS(Hospitalización!$M$3:$M$500,"Cirugía",Hospitalización!$U$3:$U$500,"5")</f>
        <v>2</v>
      </c>
      <c r="J82" s="27">
        <f>COUNTIFS(Hospitalización!$M$3:$M$500,"Cirugía",Hospitalización!$V$3:$V$500,"5")</f>
        <v>7</v>
      </c>
      <c r="K82" s="27">
        <f>COUNTIFS(Hospitalización!$M$3:$M$500,"Cirugía",Hospitalización!$W$3:$W$500,"5")</f>
        <v>4</v>
      </c>
      <c r="L82" s="27">
        <f>COUNTIFS(Hospitalización!$M$3:$M$500,"Cirugía",Hospitalización!$X$3:$X$500,"5")</f>
        <v>0</v>
      </c>
      <c r="M82" s="27">
        <f>COUNTIFS(Hospitalización!$M$3:$M$500,"Cirugía",Hospitalización!$Y$3:$Y$500,"5")</f>
        <v>2</v>
      </c>
    </row>
    <row r="83" spans="1:16">
      <c r="A83" s="77" t="s">
        <v>115</v>
      </c>
      <c r="B83" s="27">
        <f>COUNTIFS(Hospitalización!$M$3:$M$500,"Cirugía",Hospitalización!$N$3:$N$500,"4")</f>
        <v>0</v>
      </c>
      <c r="C83" s="27">
        <f>COUNTIFS(Hospitalización!$M$3:$M$500,"Cirugía",Hospitalización!$O$3:$O$500,"4")</f>
        <v>0</v>
      </c>
      <c r="D83" s="27">
        <f>COUNTIFS(Hospitalización!$M$3:$M$500,"Cirugía",Hospitalización!$P$3:$P$500,"4")</f>
        <v>0</v>
      </c>
      <c r="E83" s="27">
        <f>COUNTIFS(Hospitalización!$M$3:$M$500,"Cirugía",Hospitalización!$Q$3:$Q$500,"4")</f>
        <v>0</v>
      </c>
      <c r="F83" s="27">
        <f>COUNTIFS(Hospitalización!$M$3:$M$500,"Cirugía",Hospitalización!$R$3:$R$500,"4")</f>
        <v>0</v>
      </c>
      <c r="G83" s="27">
        <f>COUNTIFS(Hospitalización!$M$3:$M$500,"Cirugía",Hospitalización!$S$3:$S$500,"4")</f>
        <v>0</v>
      </c>
      <c r="H83" s="27">
        <f>COUNTIFS(Hospitalización!$M$3:$M$500,"Cirugía",Hospitalización!$T$3:$T$500,"4")</f>
        <v>0</v>
      </c>
      <c r="I83" s="27">
        <f>COUNTIFS(Hospitalización!$M$3:$M$500,"Cirugía",Hospitalización!$U$3:$U$500,"4")</f>
        <v>0</v>
      </c>
      <c r="J83" s="27">
        <f>COUNTIFS(Hospitalización!$M$3:$M$500,"Cirugía",Hospitalización!$V$3:$V$500,"4")</f>
        <v>0</v>
      </c>
      <c r="K83" s="27">
        <f>COUNTIFS(Hospitalización!$M$3:$M$500,"Cirugía",Hospitalización!$W$3:$W$500,"4")</f>
        <v>0</v>
      </c>
      <c r="L83" s="27">
        <f>COUNTIFS(Hospitalización!$M$3:$M$500,"Cirugía",Hospitalización!$X$3:$X$500,"4")</f>
        <v>0</v>
      </c>
      <c r="M83" s="27">
        <f>COUNTIFS(Hospitalización!$M$3:$M$500,"Cirugía",Hospitalización!$Y$3:$Y$500,"4")</f>
        <v>0</v>
      </c>
    </row>
    <row r="84" spans="1:16">
      <c r="A84" s="77" t="s">
        <v>116</v>
      </c>
      <c r="B84" s="27">
        <f>COUNTIFS(Hospitalización!$M$3:$M$500,"Cirugía",Hospitalización!$N$3:$N$500,"3")</f>
        <v>0</v>
      </c>
      <c r="C84" s="27">
        <f>COUNTIFS(Hospitalización!$M$3:$M$500,"Cirugía",Hospitalización!$O$3:$O$500,"3")</f>
        <v>0</v>
      </c>
      <c r="D84" s="27">
        <f>COUNTIFS(Hospitalización!$M$3:$M$500,"Cirugía",Hospitalización!$P$3:$P$500,"3")</f>
        <v>0</v>
      </c>
      <c r="E84" s="27">
        <f>COUNTIFS(Hospitalización!$M$3:$M$500,"Cirugía",Hospitalización!$Q$3:$Q$500,"3")</f>
        <v>0</v>
      </c>
      <c r="F84" s="27">
        <f>COUNTIFS(Hospitalización!$M$3:$M$500,"Cirugía",Hospitalización!$R$3:$R$500,"3")</f>
        <v>0</v>
      </c>
      <c r="G84" s="27">
        <f>COUNTIFS(Hospitalización!$M$3:$M$500,"Cirugía",Hospitalización!$S$3:$S$500,"3")</f>
        <v>0</v>
      </c>
      <c r="H84" s="27">
        <f>COUNTIFS(Hospitalización!$M$3:$M$500,"Cirugía",Hospitalización!$T$3:$T$500,"3")</f>
        <v>0</v>
      </c>
      <c r="I84" s="27">
        <f>COUNTIFS(Hospitalización!$M$3:$M$500,"Cirugía",Hospitalización!$U$3:$U$500,"3")</f>
        <v>0</v>
      </c>
      <c r="J84" s="27">
        <f>COUNTIFS(Hospitalización!$M$3:$M$500,"Cirugía",Hospitalización!$V$3:$V$500,"3")</f>
        <v>0</v>
      </c>
      <c r="K84" s="27">
        <f>COUNTIFS(Hospitalización!$M$3:$M$500,"Cirugía",Hospitalización!$W$3:$W$500,"3")</f>
        <v>0</v>
      </c>
      <c r="L84" s="27">
        <f>COUNTIFS(Hospitalización!$M$3:$M$500,"Cirugía",Hospitalización!$X$3:$X$500,"3")</f>
        <v>0</v>
      </c>
      <c r="M84" s="27">
        <f>COUNTIFS(Hospitalización!$M$3:$M$500,"Cirugía",Hospitalización!$Y$3:$Y$500,"3")</f>
        <v>0</v>
      </c>
    </row>
    <row r="85" spans="1:16">
      <c r="A85" s="77" t="s">
        <v>117</v>
      </c>
      <c r="B85" s="27">
        <f>COUNTIFS(Hospitalización!$M$3:$M$500,"Cirugía",Hospitalización!$N$3:$N$500,"2")</f>
        <v>0</v>
      </c>
      <c r="C85" s="27">
        <f>COUNTIFS(Hospitalización!$M$3:$M$500,"Cirugía",Hospitalización!$O$3:$O$500,"2")</f>
        <v>0</v>
      </c>
      <c r="D85" s="27">
        <f>COUNTIFS(Hospitalización!$M$3:$M$500,"Cirugía",Hospitalización!$P$3:$P$500,"2")</f>
        <v>0</v>
      </c>
      <c r="E85" s="27">
        <f>COUNTIFS(Hospitalización!$M$3:$M$500,"Cirugía",Hospitalización!$Q$3:$Q$500,"2")</f>
        <v>0</v>
      </c>
      <c r="F85" s="27">
        <f>COUNTIFS(Hospitalización!$M$3:$M$500,"Cirugía",Hospitalización!$R$3:$R$500,"2")</f>
        <v>0</v>
      </c>
      <c r="G85" s="27">
        <f>COUNTIFS(Hospitalización!$M$3:$M$500,"Cirugía",Hospitalización!$S$3:$S$500,"2")</f>
        <v>0</v>
      </c>
      <c r="H85" s="27">
        <f>COUNTIFS(Hospitalización!$M$3:$M$500,"Cirugía",Hospitalización!$T$3:$T$500,"2")</f>
        <v>0</v>
      </c>
      <c r="I85" s="27">
        <f>COUNTIFS(Hospitalización!$M$3:$M$500,"Cirugía",Hospitalización!$U$3:$U$500,"2")</f>
        <v>0</v>
      </c>
      <c r="J85" s="27">
        <f>COUNTIFS(Hospitalización!$M$3:$M$500,"Cirugía",Hospitalización!$V$3:$V$500,"2")</f>
        <v>0</v>
      </c>
      <c r="K85" s="27">
        <f>COUNTIFS(Hospitalización!$M$3:$M$500,"Cirugía",Hospitalización!$W$3:$W$500,"2")</f>
        <v>0</v>
      </c>
      <c r="L85" s="27">
        <f>COUNTIFS(Hospitalización!$M$3:$M$500,"Cirugía",Hospitalización!$X$3:$X$500,"2")</f>
        <v>0</v>
      </c>
      <c r="M85" s="27">
        <f>COUNTIFS(Hospitalización!$M$3:$M$500,"Cirugía",Hospitalización!$Y$3:$Y$500,"2")</f>
        <v>0</v>
      </c>
    </row>
    <row r="86" spans="1:16">
      <c r="A86" s="77" t="s">
        <v>118</v>
      </c>
      <c r="B86" s="27">
        <f>COUNTIFS(Hospitalización!$M$3:$M$500,"Cirugía",Hospitalización!$N$3:$N$500,"1")</f>
        <v>0</v>
      </c>
      <c r="C86" s="27">
        <f>COUNTIFS(Hospitalización!$M$3:$M$500,"Cirugía",Hospitalización!$O$3:$O$500,"1")</f>
        <v>0</v>
      </c>
      <c r="D86" s="27">
        <f>COUNTIFS(Hospitalización!$M$3:$M$500,"Cirugía",Hospitalización!$P$3:$P$500,"1")</f>
        <v>0</v>
      </c>
      <c r="E86" s="27">
        <f>COUNTIFS(Hospitalización!$M$3:$M$500,"Cirugía",Hospitalización!$Q$3:$Q$500,"1")</f>
        <v>0</v>
      </c>
      <c r="F86" s="27">
        <f>COUNTIFS(Hospitalización!$M$3:$M$500,"Cirugía",Hospitalización!$R$3:$R$500,"1")</f>
        <v>0</v>
      </c>
      <c r="G86" s="27">
        <f>COUNTIFS(Hospitalización!$M$3:$M$500,"Cirugía",Hospitalización!$S$3:$S$500,"1")</f>
        <v>0</v>
      </c>
      <c r="H86" s="27">
        <f>COUNTIFS(Hospitalización!$M$3:$M$500,"Cirugía",Hospitalización!$T$3:$T$500,"1")</f>
        <v>0</v>
      </c>
      <c r="I86" s="27">
        <f>COUNTIFS(Hospitalización!$M$3:$M$500,"Cirugía",Hospitalización!$U$3:$U$500,"1")</f>
        <v>0</v>
      </c>
      <c r="J86" s="27">
        <f>COUNTIFS(Hospitalización!$M$3:$M$500,"Cirugía",Hospitalización!$V$3:$V$500,"1")</f>
        <v>0</v>
      </c>
      <c r="K86" s="27">
        <f>COUNTIFS(Hospitalización!$M$3:$M$500,"Cirugía",Hospitalización!$W$3:$W$500,"1")</f>
        <v>0</v>
      </c>
      <c r="L86" s="27">
        <f>COUNTIFS(Hospitalización!$M$3:$M$500,"Cirugía",Hospitalización!$X$3:$X$500,"1")</f>
        <v>0</v>
      </c>
      <c r="M86" s="27">
        <f>COUNTIFS(Hospitalización!$M$3:$M$500,"Cirugía",Hospitalización!$Y$3:$Y$500,"1")</f>
        <v>0</v>
      </c>
    </row>
    <row r="87" spans="1:16">
      <c r="B87" s="25">
        <f>SUM(B79:B86)</f>
        <v>7</v>
      </c>
      <c r="C87" s="25">
        <f t="shared" ref="C87:M87" si="6">SUM(C80:C86)</f>
        <v>7</v>
      </c>
      <c r="D87" s="25">
        <f t="shared" si="6"/>
        <v>7</v>
      </c>
      <c r="E87" s="25">
        <f t="shared" si="6"/>
        <v>7</v>
      </c>
      <c r="F87" s="25">
        <f t="shared" si="6"/>
        <v>7</v>
      </c>
      <c r="G87" s="25">
        <f t="shared" si="6"/>
        <v>7</v>
      </c>
      <c r="H87" s="25">
        <f t="shared" si="6"/>
        <v>7</v>
      </c>
      <c r="I87" s="25">
        <f t="shared" si="6"/>
        <v>7</v>
      </c>
      <c r="J87" s="25">
        <f t="shared" si="6"/>
        <v>7</v>
      </c>
      <c r="K87" s="25">
        <f t="shared" si="6"/>
        <v>7</v>
      </c>
      <c r="L87" s="25">
        <f t="shared" si="6"/>
        <v>7</v>
      </c>
      <c r="M87" s="25">
        <f t="shared" si="6"/>
        <v>7</v>
      </c>
      <c r="P87">
        <f>+B87+B73+B60+B48+B36+B24+B12</f>
        <v>49</v>
      </c>
    </row>
    <row r="89" spans="1:16" ht="35.4" customHeight="1">
      <c r="B89" s="192" t="s">
        <v>148</v>
      </c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</row>
    <row r="90" spans="1:16" ht="36">
      <c r="B90" s="91" t="s">
        <v>119</v>
      </c>
      <c r="C90" s="91" t="s">
        <v>120</v>
      </c>
      <c r="D90" s="91" t="s">
        <v>121</v>
      </c>
      <c r="E90" s="91" t="s">
        <v>122</v>
      </c>
      <c r="F90" s="91" t="s">
        <v>123</v>
      </c>
      <c r="G90" s="91" t="s">
        <v>124</v>
      </c>
      <c r="H90" s="91" t="s">
        <v>125</v>
      </c>
      <c r="I90" s="91" t="s">
        <v>126</v>
      </c>
      <c r="J90" s="91" t="s">
        <v>127</v>
      </c>
      <c r="K90" s="91" t="s">
        <v>128</v>
      </c>
      <c r="L90" s="91" t="s">
        <v>129</v>
      </c>
      <c r="M90" s="91" t="s">
        <v>130</v>
      </c>
    </row>
    <row r="91" spans="1:16" ht="26.4">
      <c r="A91" s="5" t="s">
        <v>16</v>
      </c>
      <c r="B91" s="85">
        <f>(B7+B8)/B12</f>
        <v>1</v>
      </c>
      <c r="C91" s="85">
        <f t="shared" ref="C91:M91" si="7">(C7+C8)/C12</f>
        <v>1</v>
      </c>
      <c r="D91" s="85">
        <f t="shared" si="7"/>
        <v>1</v>
      </c>
      <c r="E91" s="85">
        <f t="shared" si="7"/>
        <v>1</v>
      </c>
      <c r="F91" s="85">
        <f t="shared" si="7"/>
        <v>1</v>
      </c>
      <c r="G91" s="85">
        <f t="shared" si="7"/>
        <v>1</v>
      </c>
      <c r="H91" s="85">
        <f t="shared" si="7"/>
        <v>1</v>
      </c>
      <c r="I91" s="85">
        <f t="shared" si="7"/>
        <v>1</v>
      </c>
      <c r="J91" s="85">
        <f t="shared" si="7"/>
        <v>1</v>
      </c>
      <c r="K91" s="85">
        <f t="shared" si="7"/>
        <v>1</v>
      </c>
      <c r="L91" s="85">
        <f t="shared" si="7"/>
        <v>1</v>
      </c>
      <c r="M91" s="85">
        <f t="shared" si="7"/>
        <v>1</v>
      </c>
    </row>
    <row r="92" spans="1:16" ht="26.4">
      <c r="A92" s="5" t="s">
        <v>17</v>
      </c>
      <c r="B92" s="85">
        <f>(B19+B20)/B24</f>
        <v>1</v>
      </c>
      <c r="C92" s="85">
        <f t="shared" ref="C92:M92" si="8">(C19+C20)/C24</f>
        <v>1</v>
      </c>
      <c r="D92" s="85">
        <f t="shared" si="8"/>
        <v>1</v>
      </c>
      <c r="E92" s="85">
        <f t="shared" si="8"/>
        <v>1</v>
      </c>
      <c r="F92" s="85">
        <f t="shared" si="8"/>
        <v>1</v>
      </c>
      <c r="G92" s="85">
        <f t="shared" si="8"/>
        <v>1</v>
      </c>
      <c r="H92" s="85">
        <f t="shared" si="8"/>
        <v>1</v>
      </c>
      <c r="I92" s="85">
        <f t="shared" si="8"/>
        <v>1</v>
      </c>
      <c r="J92" s="85">
        <f t="shared" si="8"/>
        <v>1</v>
      </c>
      <c r="K92" s="85">
        <f t="shared" si="8"/>
        <v>1</v>
      </c>
      <c r="L92" s="85">
        <f t="shared" si="8"/>
        <v>0.7142857142857143</v>
      </c>
      <c r="M92" s="85">
        <f t="shared" si="8"/>
        <v>1</v>
      </c>
    </row>
    <row r="93" spans="1:16" ht="26.4">
      <c r="A93" s="5" t="s">
        <v>149</v>
      </c>
      <c r="B93" s="85">
        <f>(B31+B32)/B36</f>
        <v>1</v>
      </c>
      <c r="C93" s="85">
        <f t="shared" ref="C93:M93" si="9">(C31+C32)/C36</f>
        <v>1</v>
      </c>
      <c r="D93" s="85">
        <f t="shared" si="9"/>
        <v>1</v>
      </c>
      <c r="E93" s="85">
        <f t="shared" si="9"/>
        <v>1</v>
      </c>
      <c r="F93" s="85">
        <f t="shared" si="9"/>
        <v>1</v>
      </c>
      <c r="G93" s="85">
        <f t="shared" si="9"/>
        <v>1</v>
      </c>
      <c r="H93" s="85">
        <f t="shared" si="9"/>
        <v>1</v>
      </c>
      <c r="I93" s="85">
        <f t="shared" si="9"/>
        <v>1</v>
      </c>
      <c r="J93" s="85">
        <f t="shared" si="9"/>
        <v>1</v>
      </c>
      <c r="K93" s="85">
        <f t="shared" si="9"/>
        <v>1</v>
      </c>
      <c r="L93" s="85">
        <f t="shared" si="9"/>
        <v>1</v>
      </c>
      <c r="M93" s="85">
        <f t="shared" si="9"/>
        <v>1</v>
      </c>
    </row>
    <row r="94" spans="1:16" ht="26.4">
      <c r="A94" s="5" t="s">
        <v>19</v>
      </c>
      <c r="B94" s="85">
        <f>(B43+B44)/B48</f>
        <v>1</v>
      </c>
      <c r="C94" s="85">
        <f t="shared" ref="C94:M94" si="10">(C43+C44)/C48</f>
        <v>1</v>
      </c>
      <c r="D94" s="85">
        <f t="shared" si="10"/>
        <v>1</v>
      </c>
      <c r="E94" s="85">
        <f t="shared" si="10"/>
        <v>1</v>
      </c>
      <c r="F94" s="85">
        <f t="shared" si="10"/>
        <v>1</v>
      </c>
      <c r="G94" s="85">
        <f t="shared" si="10"/>
        <v>1</v>
      </c>
      <c r="H94" s="85">
        <f t="shared" si="10"/>
        <v>1</v>
      </c>
      <c r="I94" s="85">
        <f t="shared" si="10"/>
        <v>1</v>
      </c>
      <c r="J94" s="85">
        <f t="shared" si="10"/>
        <v>1</v>
      </c>
      <c r="K94" s="85">
        <f t="shared" si="10"/>
        <v>1</v>
      </c>
      <c r="L94" s="85">
        <f t="shared" si="10"/>
        <v>1</v>
      </c>
      <c r="M94" s="85">
        <f t="shared" si="10"/>
        <v>1</v>
      </c>
    </row>
    <row r="95" spans="1:16" ht="26.4">
      <c r="A95" s="5" t="s">
        <v>20</v>
      </c>
      <c r="B95" s="85">
        <f>(B55+B56)/B60</f>
        <v>1</v>
      </c>
      <c r="C95" s="85">
        <f t="shared" ref="C95:M95" si="11">(C55+C56)/C60</f>
        <v>1</v>
      </c>
      <c r="D95" s="85">
        <f t="shared" si="11"/>
        <v>1</v>
      </c>
      <c r="E95" s="85">
        <f t="shared" si="11"/>
        <v>1</v>
      </c>
      <c r="F95" s="85">
        <f t="shared" si="11"/>
        <v>1</v>
      </c>
      <c r="G95" s="85">
        <f t="shared" si="11"/>
        <v>1</v>
      </c>
      <c r="H95" s="85">
        <f t="shared" si="11"/>
        <v>1</v>
      </c>
      <c r="I95" s="85">
        <f t="shared" si="11"/>
        <v>1</v>
      </c>
      <c r="J95" s="85">
        <f t="shared" si="11"/>
        <v>1</v>
      </c>
      <c r="K95" s="85">
        <f t="shared" si="11"/>
        <v>1</v>
      </c>
      <c r="L95" s="85">
        <f t="shared" si="11"/>
        <v>1</v>
      </c>
      <c r="M95" s="85">
        <f t="shared" si="11"/>
        <v>1</v>
      </c>
    </row>
    <row r="96" spans="1:16" ht="39.6">
      <c r="A96" s="5" t="s">
        <v>21</v>
      </c>
      <c r="B96" s="85">
        <f>+(B68+B69)/B73</f>
        <v>1</v>
      </c>
      <c r="C96" s="85">
        <f t="shared" ref="C96:M96" si="12">+(C68+C69)/C73</f>
        <v>1</v>
      </c>
      <c r="D96" s="85">
        <f t="shared" si="12"/>
        <v>1</v>
      </c>
      <c r="E96" s="85">
        <f t="shared" si="12"/>
        <v>1</v>
      </c>
      <c r="F96" s="85">
        <f t="shared" si="12"/>
        <v>1</v>
      </c>
      <c r="G96" s="85">
        <f t="shared" si="12"/>
        <v>1</v>
      </c>
      <c r="H96" s="85">
        <f t="shared" si="12"/>
        <v>1</v>
      </c>
      <c r="I96" s="85">
        <f t="shared" si="12"/>
        <v>1</v>
      </c>
      <c r="J96" s="85">
        <f t="shared" si="12"/>
        <v>1</v>
      </c>
      <c r="K96" s="85">
        <f t="shared" si="12"/>
        <v>1</v>
      </c>
      <c r="L96" s="85">
        <f t="shared" si="12"/>
        <v>1</v>
      </c>
      <c r="M96" s="85">
        <f t="shared" si="12"/>
        <v>1</v>
      </c>
    </row>
    <row r="97" spans="1:13">
      <c r="A97" s="32" t="s">
        <v>22</v>
      </c>
      <c r="B97" s="85">
        <f>(B82+B83)/B87</f>
        <v>1</v>
      </c>
      <c r="C97" s="85">
        <f t="shared" ref="C97:M97" si="13">(C82+C83)/C87</f>
        <v>1</v>
      </c>
      <c r="D97" s="85">
        <f t="shared" si="13"/>
        <v>1</v>
      </c>
      <c r="E97" s="85">
        <f t="shared" si="13"/>
        <v>1</v>
      </c>
      <c r="F97" s="85">
        <f t="shared" si="13"/>
        <v>1</v>
      </c>
      <c r="G97" s="85">
        <f t="shared" si="13"/>
        <v>0.14285714285714285</v>
      </c>
      <c r="H97" s="85">
        <f t="shared" si="13"/>
        <v>0.14285714285714285</v>
      </c>
      <c r="I97" s="85">
        <f t="shared" si="13"/>
        <v>0.2857142857142857</v>
      </c>
      <c r="J97" s="85">
        <f t="shared" si="13"/>
        <v>1</v>
      </c>
      <c r="K97" s="85">
        <f t="shared" si="13"/>
        <v>0.5714285714285714</v>
      </c>
      <c r="L97" s="85">
        <f t="shared" si="13"/>
        <v>0</v>
      </c>
      <c r="M97" s="85">
        <f t="shared" si="13"/>
        <v>0.2857142857142857</v>
      </c>
    </row>
  </sheetData>
  <mergeCells count="8">
    <mergeCell ref="B63:M63"/>
    <mergeCell ref="B77:M77"/>
    <mergeCell ref="B89:M89"/>
    <mergeCell ref="B2:M2"/>
    <mergeCell ref="B14:M14"/>
    <mergeCell ref="B26:M26"/>
    <mergeCell ref="B38:M38"/>
    <mergeCell ref="B50:M50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I192"/>
  <sheetViews>
    <sheetView workbookViewId="0">
      <selection activeCell="M92" sqref="M92"/>
    </sheetView>
  </sheetViews>
  <sheetFormatPr baseColWidth="10" defaultColWidth="11" defaultRowHeight="14.4"/>
  <cols>
    <col min="1" max="1" width="22.109375" customWidth="1"/>
    <col min="2" max="2" width="13.6640625" customWidth="1"/>
    <col min="3" max="3" width="16.88671875" customWidth="1"/>
    <col min="4" max="4" width="16.6640625" customWidth="1"/>
    <col min="5" max="5" width="12.6640625" customWidth="1"/>
    <col min="6" max="6" width="13.109375" customWidth="1"/>
    <col min="7" max="7" width="14.33203125" customWidth="1"/>
    <col min="8" max="8" width="12.88671875" customWidth="1"/>
    <col min="9" max="9" width="14.33203125" customWidth="1"/>
  </cols>
  <sheetData>
    <row r="1" spans="1:9">
      <c r="A1" t="s">
        <v>150</v>
      </c>
    </row>
    <row r="3" spans="1:9" ht="24.75" customHeight="1">
      <c r="A3" s="25"/>
      <c r="B3" s="193" t="s">
        <v>151</v>
      </c>
      <c r="C3" s="193"/>
      <c r="D3" s="193"/>
      <c r="E3" s="193"/>
      <c r="F3" s="193"/>
      <c r="G3" s="193"/>
      <c r="H3" s="193"/>
      <c r="I3" s="193"/>
    </row>
    <row r="4" spans="1:9" ht="54" customHeight="1">
      <c r="A4" s="25"/>
      <c r="B4" s="76" t="s">
        <v>152</v>
      </c>
      <c r="C4" s="76" t="s">
        <v>153</v>
      </c>
      <c r="D4" s="76" t="s">
        <v>154</v>
      </c>
      <c r="E4" s="76" t="s">
        <v>155</v>
      </c>
      <c r="F4" s="76" t="s">
        <v>156</v>
      </c>
      <c r="G4" s="76" t="s">
        <v>157</v>
      </c>
      <c r="H4" s="76" t="s">
        <v>158</v>
      </c>
      <c r="I4" s="76" t="s">
        <v>159</v>
      </c>
    </row>
    <row r="5" spans="1:9" ht="14.25" customHeight="1">
      <c r="A5" s="5" t="s">
        <v>111</v>
      </c>
      <c r="B5" s="27">
        <f>COUNTIF(Ambulatorio!$AC$73:$AC$483,"8")</f>
        <v>0</v>
      </c>
      <c r="C5" s="27">
        <f>COUNTIF(Ambulatorio!$AD$73:$AD$483,"8")</f>
        <v>0</v>
      </c>
      <c r="D5" s="27">
        <f>COUNTIF(Ambulatorio!$AE$73:$AE$483,"8")</f>
        <v>0</v>
      </c>
      <c r="E5" s="27">
        <f>COUNTIF(Ambulatorio!$AF$73:$AF$483,"8")</f>
        <v>0</v>
      </c>
      <c r="F5" s="27">
        <f>COUNTIF(Ambulatorio!$AG$73:$AG$483,"8")</f>
        <v>0</v>
      </c>
      <c r="G5" s="27">
        <f>COUNTIF(Ambulatorio!$AH$73:$AH$483,"8")</f>
        <v>0</v>
      </c>
      <c r="H5" s="27">
        <f>COUNTIF(Ambulatorio!$AI$73:$AI$483,"8")</f>
        <v>0</v>
      </c>
      <c r="I5" s="27">
        <f>COUNTIF(Ambulatorio!$AJ$73:$AJ$483,"8")</f>
        <v>0</v>
      </c>
    </row>
    <row r="6" spans="1:9" ht="15" customHeight="1">
      <c r="A6" s="5" t="s">
        <v>112</v>
      </c>
      <c r="B6" s="27">
        <f>COUNTIF(Ambulatorio!$AC$73:$AC$483,"7")</f>
        <v>0</v>
      </c>
      <c r="C6" s="27">
        <f>COUNTIF(Ambulatorio!$AD$73:$AD$483,"7")</f>
        <v>0</v>
      </c>
      <c r="D6" s="27">
        <f>COUNTIF(Ambulatorio!$AE$73:$AE$483,"7")</f>
        <v>0</v>
      </c>
      <c r="E6" s="27">
        <f>COUNTIF(Ambulatorio!$AF$73:$AF$483,"7")</f>
        <v>0</v>
      </c>
      <c r="F6" s="27">
        <f>COUNTIF(Ambulatorio!$AG$73:$AG$483,"7")</f>
        <v>0</v>
      </c>
      <c r="G6" s="27">
        <f>COUNTIF(Ambulatorio!$AH$73:$AH$483,"7")</f>
        <v>0</v>
      </c>
      <c r="H6" s="27">
        <f>COUNTIF(Ambulatorio!$AI$73:$AI$483,"7")</f>
        <v>0</v>
      </c>
      <c r="I6" s="27">
        <f>COUNTIF(Ambulatorio!$AJ$73:$AJ$483,"7")</f>
        <v>0</v>
      </c>
    </row>
    <row r="7" spans="1:9">
      <c r="A7" s="77" t="s">
        <v>113</v>
      </c>
      <c r="B7" s="27">
        <f>COUNTIF(Ambulatorio!$AC$73:$AC$483,"6")</f>
        <v>0</v>
      </c>
      <c r="C7" s="27">
        <f>COUNTIF(Ambulatorio!$AD$73:$AD$483,"6")</f>
        <v>0</v>
      </c>
      <c r="D7" s="27">
        <f>COUNTIF(Ambulatorio!$AE$73:$AE$483,"6")</f>
        <v>0</v>
      </c>
      <c r="E7" s="27">
        <f>COUNTIF(Ambulatorio!$AF$73:$AF$483,"6")</f>
        <v>0</v>
      </c>
      <c r="F7" s="27">
        <f>COUNTIF(Ambulatorio!$AG$73:$AG$483,"6")</f>
        <v>0</v>
      </c>
      <c r="G7" s="27">
        <f>COUNTIF(Ambulatorio!$AH$73:$AH$483,"6")</f>
        <v>0</v>
      </c>
      <c r="H7" s="27">
        <f>COUNTIF(Ambulatorio!$AI$73:$AI$483,"6")</f>
        <v>2</v>
      </c>
      <c r="I7" s="27">
        <f>COUNTIF(Ambulatorio!$AJ$73:$AJ$483,"6")</f>
        <v>0</v>
      </c>
    </row>
    <row r="8" spans="1:9">
      <c r="A8" s="77" t="s">
        <v>114</v>
      </c>
      <c r="B8" s="27">
        <f>COUNTIF(Ambulatorio!$AC$73:$AC$483,"5")</f>
        <v>286</v>
      </c>
      <c r="C8" s="27">
        <f>COUNTIF(Ambulatorio!$AD$73:$AD$483,"5")</f>
        <v>286</v>
      </c>
      <c r="D8" s="27">
        <f>COUNTIF(Ambulatorio!$AE$73:$AE$483,"5")</f>
        <v>286</v>
      </c>
      <c r="E8" s="27">
        <f>COUNTIF(Ambulatorio!$AF$73:$AF$483,"5")</f>
        <v>286</v>
      </c>
      <c r="F8" s="27">
        <f>COUNTIF(Ambulatorio!$AG$73:$AG$483,"5")</f>
        <v>286</v>
      </c>
      <c r="G8" s="27">
        <f>COUNTIF(Ambulatorio!$AH$73:$AH$483,"5")</f>
        <v>286</v>
      </c>
      <c r="H8" s="27">
        <f>COUNTIF(Ambulatorio!$AI$73:$AI$483,"5")</f>
        <v>286</v>
      </c>
      <c r="I8" s="27">
        <f>COUNTIF(Ambulatorio!$AJ$73:$AJ$483,"5")</f>
        <v>285</v>
      </c>
    </row>
    <row r="9" spans="1:9">
      <c r="A9" s="77" t="s">
        <v>115</v>
      </c>
      <c r="B9" s="27">
        <f>COUNTIF(Ambulatorio!$AC$73:$AC$483,"4")</f>
        <v>8</v>
      </c>
      <c r="C9" s="27">
        <f>COUNTIF(Ambulatorio!$AD$73:$AD$483,"4")</f>
        <v>8</v>
      </c>
      <c r="D9" s="27">
        <f>COUNTIF(Ambulatorio!$AE$73:$AE$483,"4")</f>
        <v>8</v>
      </c>
      <c r="E9" s="27">
        <f>COUNTIF(Ambulatorio!$AF$73:$AF$483,"4")</f>
        <v>8</v>
      </c>
      <c r="F9" s="27">
        <f>COUNTIF(Ambulatorio!$AG$73:$AG$483,"4")</f>
        <v>8</v>
      </c>
      <c r="G9" s="27">
        <f>COUNTIF(Ambulatorio!$AH$73:$AH$483,"4")</f>
        <v>8</v>
      </c>
      <c r="H9" s="27">
        <f>COUNTIF(Ambulatorio!$AI$73:$AI$483,"4")</f>
        <v>6</v>
      </c>
      <c r="I9" s="27">
        <f>COUNTIF(Ambulatorio!$AJ$73:$AJ$483,"4")</f>
        <v>9</v>
      </c>
    </row>
    <row r="10" spans="1:9">
      <c r="A10" s="77" t="s">
        <v>116</v>
      </c>
      <c r="B10" s="27">
        <f>COUNTIF(Ambulatorio!$AC$73:$AC$483,"3")</f>
        <v>0</v>
      </c>
      <c r="C10" s="27">
        <f>COUNTIF(Ambulatorio!$AD$73:$AD$483,"3")</f>
        <v>0</v>
      </c>
      <c r="D10" s="27">
        <f>COUNTIF(Ambulatorio!$AE$73:$AE$483,"3")</f>
        <v>0</v>
      </c>
      <c r="E10" s="27">
        <f>COUNTIF(Ambulatorio!$AF$73:$AF$483,"3")</f>
        <v>0</v>
      </c>
      <c r="F10" s="27">
        <f>COUNTIF(Ambulatorio!$AG$73:$AG$483,"3")</f>
        <v>0</v>
      </c>
      <c r="G10" s="27">
        <f>COUNTIF(Ambulatorio!$AH$73:$AH$483,"3")</f>
        <v>0</v>
      </c>
      <c r="H10" s="27">
        <f>COUNTIF(Ambulatorio!$AI$73:$AI$483,"3")</f>
        <v>0</v>
      </c>
      <c r="I10" s="27">
        <f>COUNTIF(Ambulatorio!$AJ$73:$AJ$483,"3")</f>
        <v>0</v>
      </c>
    </row>
    <row r="11" spans="1:9">
      <c r="A11" s="77" t="s">
        <v>117</v>
      </c>
      <c r="B11" s="27">
        <f>COUNTIF(Ambulatorio!$AC$73:$AC$483,"2")</f>
        <v>0</v>
      </c>
      <c r="C11" s="27">
        <f>COUNTIF(Ambulatorio!$AD$73:$AD$483,"2")</f>
        <v>0</v>
      </c>
      <c r="D11" s="27">
        <f>COUNTIF(Ambulatorio!$AE$73:$AE$483,"2")</f>
        <v>0</v>
      </c>
      <c r="E11" s="27">
        <f>COUNTIF(Ambulatorio!$AF$73:$AF$483,"2")</f>
        <v>0</v>
      </c>
      <c r="F11" s="27">
        <f>COUNTIF(Ambulatorio!$AG$73:$AG$483,"2")</f>
        <v>0</v>
      </c>
      <c r="G11" s="27">
        <f>COUNTIF(Ambulatorio!$AH$73:$AH$483,"2")</f>
        <v>0</v>
      </c>
      <c r="H11" s="27">
        <f>COUNTIF(Ambulatorio!$AI$73:$AI$483,"2")</f>
        <v>0</v>
      </c>
      <c r="I11" s="27">
        <f>COUNTIF(Ambulatorio!$AJ$73:$AJ$483,"2")</f>
        <v>0</v>
      </c>
    </row>
    <row r="12" spans="1:9">
      <c r="A12" s="77" t="s">
        <v>118</v>
      </c>
      <c r="B12" s="27">
        <f>COUNTIF(Ambulatorio!$AC$73:$AC$483,"1")</f>
        <v>0</v>
      </c>
      <c r="C12" s="27">
        <f>COUNTIF(Ambulatorio!$AD$73:$AD$483,"1")</f>
        <v>0</v>
      </c>
      <c r="D12" s="27">
        <f>COUNTIF(Ambulatorio!$AE$73:$AE$483,"1")</f>
        <v>0</v>
      </c>
      <c r="E12" s="27">
        <f>COUNTIF(Ambulatorio!$AF$73:$AF$483,"1")</f>
        <v>0</v>
      </c>
      <c r="F12" s="27">
        <f>COUNTIF(Ambulatorio!$AG$73:$AG$483,"1")</f>
        <v>0</v>
      </c>
      <c r="G12" s="27">
        <f>COUNTIF(Ambulatorio!$AH$73:$AH$483,"1")</f>
        <v>0</v>
      </c>
      <c r="H12" s="27">
        <f>COUNTIF(Ambulatorio!$AI$73:$AI$483,"1")</f>
        <v>0</v>
      </c>
      <c r="I12" s="27">
        <f>COUNTIF(Ambulatorio!$AJ$73:$AJ$483,"1")</f>
        <v>0</v>
      </c>
    </row>
    <row r="13" spans="1:9">
      <c r="A13" s="25"/>
      <c r="B13" s="25">
        <f t="shared" ref="B13:I13" si="0">SUM(B6:B12)</f>
        <v>294</v>
      </c>
      <c r="C13" s="25">
        <f t="shared" si="0"/>
        <v>294</v>
      </c>
      <c r="D13" s="25">
        <f t="shared" si="0"/>
        <v>294</v>
      </c>
      <c r="E13" s="25">
        <f t="shared" si="0"/>
        <v>294</v>
      </c>
      <c r="F13" s="25">
        <f t="shared" si="0"/>
        <v>294</v>
      </c>
      <c r="G13" s="25">
        <f t="shared" si="0"/>
        <v>294</v>
      </c>
      <c r="H13" s="25">
        <f t="shared" si="0"/>
        <v>294</v>
      </c>
      <c r="I13" s="25">
        <f t="shared" si="0"/>
        <v>294</v>
      </c>
    </row>
    <row r="14" spans="1:9">
      <c r="A14" s="25"/>
    </row>
    <row r="15" spans="1:9" ht="24" customHeight="1">
      <c r="A15" s="25"/>
      <c r="B15" s="182" t="s">
        <v>131</v>
      </c>
      <c r="C15" s="182"/>
      <c r="D15" s="182"/>
      <c r="E15" s="182"/>
      <c r="F15" s="182"/>
      <c r="G15" s="182"/>
      <c r="H15" s="182"/>
      <c r="I15" s="182"/>
    </row>
    <row r="16" spans="1:9" ht="52.8">
      <c r="A16" s="25"/>
      <c r="B16" s="76" t="s">
        <v>152</v>
      </c>
      <c r="C16" s="76" t="s">
        <v>153</v>
      </c>
      <c r="D16" s="76" t="s">
        <v>154</v>
      </c>
      <c r="E16" s="76" t="s">
        <v>155</v>
      </c>
      <c r="F16" s="76" t="s">
        <v>156</v>
      </c>
      <c r="G16" s="76" t="s">
        <v>157</v>
      </c>
      <c r="H16" s="76" t="s">
        <v>158</v>
      </c>
      <c r="I16" s="76" t="s">
        <v>159</v>
      </c>
    </row>
    <row r="17" spans="1:9">
      <c r="A17" s="5" t="s">
        <v>111</v>
      </c>
      <c r="B17" s="27">
        <f>COUNTIFS(Ambulatorio!$M$73:$M$483,"Citas Médicas- Facturación",Ambulatorio!$AC$73:$AC$483,8)</f>
        <v>0</v>
      </c>
      <c r="C17" s="27">
        <f>COUNTIFS(Ambulatorio!$M$73:$M$483,"Citas Médicas- Facturación",Ambulatorio!$AD$73:$AD$483,8)</f>
        <v>0</v>
      </c>
      <c r="D17" s="27">
        <f>COUNTIFS(Ambulatorio!$M$73:$M$483,"Citas Médicas- Facturación",Ambulatorio!$AE$73:$AE$483,8)</f>
        <v>0</v>
      </c>
      <c r="E17" s="27">
        <f>COUNTIFS(Ambulatorio!$M$73:$M$483,"Citas Médicas- Facturación",Ambulatorio!$AF$73:$AF$483,8)</f>
        <v>0</v>
      </c>
      <c r="F17" s="27">
        <f>COUNTIFS(Ambulatorio!$M$73:$M$483,"Citas Médicas- Facturación",Ambulatorio!$AG$73:$AG$483,8)</f>
        <v>0</v>
      </c>
      <c r="G17" s="27">
        <f>COUNTIFS(Ambulatorio!$M$73:$M$483,"Citas Médicas- Facturación",Ambulatorio!$AH$73:$AH$483,8)</f>
        <v>0</v>
      </c>
      <c r="H17" s="27">
        <f>COUNTIFS(Ambulatorio!$M$73:$M$483,"Citas Médicas- Facturación",Ambulatorio!$AI$73:$AI$483,8)</f>
        <v>0</v>
      </c>
      <c r="I17" s="27">
        <f>COUNTIFS(Ambulatorio!$M$73:$M$483,"Citas Médicas- Facturación",Ambulatorio!$AJ$73:$AJ$483,8)</f>
        <v>0</v>
      </c>
    </row>
    <row r="18" spans="1:9">
      <c r="A18" s="5" t="s">
        <v>112</v>
      </c>
      <c r="B18" s="27">
        <f>COUNTIFS(Ambulatorio!$M$73:$M$483,"Citas Médicas- Facturación",Ambulatorio!$AC$73:$AC$483,7)</f>
        <v>0</v>
      </c>
      <c r="C18" s="27">
        <f>COUNTIFS(Ambulatorio!$M$73:$M$483,"Citas Médicas- Facturación",Ambulatorio!$AD$73:$AD$483,7)</f>
        <v>0</v>
      </c>
      <c r="D18" s="27">
        <f>COUNTIFS(Ambulatorio!$M$73:$M$483,"Citas Médicas- Facturación",Ambulatorio!$AE$73:$AE$483,7)</f>
        <v>0</v>
      </c>
      <c r="E18" s="27">
        <f>COUNTIFS(Ambulatorio!$M$73:$M$483,"Citas Médicas- Facturación",Ambulatorio!$AF$73:$AF$483,7)</f>
        <v>0</v>
      </c>
      <c r="F18" s="27">
        <f>COUNTIFS(Ambulatorio!$M$73:$M$483,"Citas Médicas- Facturación",Ambulatorio!$AG$73:$AG$483,7)</f>
        <v>0</v>
      </c>
      <c r="G18" s="27">
        <f>COUNTIFS(Ambulatorio!$M$73:$M$483,"Citas Médicas- Facturación",Ambulatorio!$AH$73:$AH$483,7)</f>
        <v>0</v>
      </c>
      <c r="H18" s="27">
        <f>COUNTIFS(Ambulatorio!$M$73:$M$483,"Citas Médicas- Facturación",Ambulatorio!$AI$73:$AI$483,7)</f>
        <v>0</v>
      </c>
      <c r="I18" s="27">
        <f>COUNTIFS(Ambulatorio!$M$73:$M$483,"Citas Médicas- Facturación",Ambulatorio!$AJ$73:$AJ$483,7)</f>
        <v>0</v>
      </c>
    </row>
    <row r="19" spans="1:9">
      <c r="A19" s="77" t="s">
        <v>113</v>
      </c>
      <c r="B19" s="27">
        <f>COUNTIFS(Ambulatorio!$M$73:$M$483,"Citas Médicas- Facturación",Ambulatorio!$AC$73:$AC$483,6)</f>
        <v>0</v>
      </c>
      <c r="C19" s="27">
        <f>COUNTIFS(Ambulatorio!$M$73:$M$483,"Citas Médicas- Facturación",Ambulatorio!$AD$73:$AD$483,6)</f>
        <v>0</v>
      </c>
      <c r="D19" s="27">
        <f>COUNTIFS(Ambulatorio!$M$73:$M$483,"Citas Médicas- Facturación",Ambulatorio!$AE$73:$AE$483,6)</f>
        <v>0</v>
      </c>
      <c r="E19" s="27">
        <f>COUNTIFS(Ambulatorio!$M$73:$M$483,"Citas Médicas- Facturación",Ambulatorio!$AE$73:$AE$483,6)</f>
        <v>0</v>
      </c>
      <c r="F19" s="27">
        <f>COUNTIFS(Ambulatorio!$M$73:$M$483,"Citas Médicas- Facturación",Ambulatorio!$AG$73:$AG$483,6)</f>
        <v>0</v>
      </c>
      <c r="G19" s="27">
        <f>COUNTIFS(Ambulatorio!$M$73:$M$483,"Citas Médicas- Facturación",Ambulatorio!$AH$73:$AH$483,6)</f>
        <v>0</v>
      </c>
      <c r="H19" s="27">
        <f>COUNTIFS(Ambulatorio!$M$73:$M$483,"Citas Médicas- Facturación",Ambulatorio!$AI$73:$AI$483,6)</f>
        <v>0</v>
      </c>
      <c r="I19" s="27">
        <f>COUNTIFS(Ambulatorio!$M$73:$M$483,"Citas Médicas- Facturación",Ambulatorio!$AJ$73:$AJ$483,6)</f>
        <v>0</v>
      </c>
    </row>
    <row r="20" spans="1:9">
      <c r="A20" s="77" t="s">
        <v>114</v>
      </c>
      <c r="B20" s="27">
        <f>COUNTIFS(Ambulatorio!$M$73:$M$483,"Citas Médicas- Facturación",Ambulatorio!$AC$73:$AC$483,5)</f>
        <v>0</v>
      </c>
      <c r="C20" s="27">
        <f>COUNTIFS(Ambulatorio!$M$73:$M$483,"Citas Médicas- Facturación",Ambulatorio!$AD$73:$AD$483,5)</f>
        <v>0</v>
      </c>
      <c r="D20" s="27">
        <f>COUNTIFS(Ambulatorio!$M$73:$M$483,"Citas Médicas- Facturación",Ambulatorio!$AE$73:$AE$483,5)</f>
        <v>0</v>
      </c>
      <c r="E20" s="27">
        <f>COUNTIFS(Ambulatorio!$M$73:$M$483,"Citas Médicas- Facturación",Ambulatorio!$AF$73:$AF$483,5)</f>
        <v>0</v>
      </c>
      <c r="F20" s="27">
        <f>COUNTIFS(Ambulatorio!$M$73:$M$483,"Citas Médicas- Facturación",Ambulatorio!$AG$73:$AG$483,5)</f>
        <v>0</v>
      </c>
      <c r="G20" s="27">
        <f>COUNTIFS(Ambulatorio!$M$73:$M$483,"Citas Médicas- Facturación",Ambulatorio!$AH$73:$AH$483,5)</f>
        <v>0</v>
      </c>
      <c r="H20" s="27">
        <f>COUNTIFS(Ambulatorio!$M$73:$M$483,"Citas Médicas- Facturación",Ambulatorio!$AI$73:$AI$483,5)</f>
        <v>0</v>
      </c>
      <c r="I20" s="27">
        <f>COUNTIFS(Ambulatorio!$M$73:$M$483,"Citas Médicas- Facturación",Ambulatorio!$AJ$73:$AJ$483,5)</f>
        <v>0</v>
      </c>
    </row>
    <row r="21" spans="1:9">
      <c r="A21" s="77" t="s">
        <v>115</v>
      </c>
      <c r="B21" s="27">
        <f>COUNTIFS(Ambulatorio!$M$73:$M$483,"Citas Médicas- Facturación",Ambulatorio!$AC$73:$AC$483,4)</f>
        <v>0</v>
      </c>
      <c r="C21" s="27">
        <f>COUNTIFS(Ambulatorio!$M$73:$M$483,"Citas Médicas- Facturación",Ambulatorio!$AD$73:$AD$483,4)</f>
        <v>0</v>
      </c>
      <c r="D21" s="27">
        <f>COUNTIFS(Ambulatorio!$M$73:$M$483,"Citas Médicas- Facturación",Ambulatorio!$AE$73:$AE$483,4)</f>
        <v>0</v>
      </c>
      <c r="E21" s="27">
        <f>COUNTIFS(Ambulatorio!$M$73:$M$483,"Citas Médicas- Facturación",Ambulatorio!$AF$73:$AF$483,4)</f>
        <v>0</v>
      </c>
      <c r="F21" s="27">
        <f>COUNTIFS(Ambulatorio!$M$73:$M$483,"Citas Médicas- Facturación",Ambulatorio!$AG$73:$AG$483,4)</f>
        <v>0</v>
      </c>
      <c r="G21" s="27">
        <f>COUNTIFS(Ambulatorio!$M$73:$M$483,"Citas Médicas- Facturación",Ambulatorio!$AH$73:$AH$483,4)</f>
        <v>0</v>
      </c>
      <c r="H21" s="27">
        <f>COUNTIFS(Ambulatorio!$M$73:$M$483,"Citas Médicas- Facturación",Ambulatorio!$AI$73:$AI$483,4)</f>
        <v>0</v>
      </c>
      <c r="I21" s="27">
        <f>COUNTIFS(Ambulatorio!$M$73:$M$483,"Citas Médicas- Facturación",Ambulatorio!$AJ$73:$AJ$483,4)</f>
        <v>0</v>
      </c>
    </row>
    <row r="22" spans="1:9">
      <c r="A22" s="77" t="s">
        <v>116</v>
      </c>
      <c r="B22" s="27">
        <f>COUNTIFS(Ambulatorio!$M$73:$M$483,"Citas Médicas- Facturación",Ambulatorio!$AC$73:$AC$483,3)</f>
        <v>0</v>
      </c>
      <c r="C22" s="27">
        <f>COUNTIFS(Ambulatorio!$M$73:$M$483,"Citas Médicas- Facturación",Ambulatorio!$AD$73:$AD$483,3)</f>
        <v>0</v>
      </c>
      <c r="D22" s="27">
        <f>COUNTIFS(Ambulatorio!$M$73:$M$483,"Citas Médicas- Facturación",Ambulatorio!$AE$73:$AE$483,3)</f>
        <v>0</v>
      </c>
      <c r="E22" s="27">
        <f>COUNTIFS(Ambulatorio!$M$73:$M$483,"Citas Médicas- Facturación",Ambulatorio!$AF$73:$AF$483,3)</f>
        <v>0</v>
      </c>
      <c r="F22" s="27">
        <f>COUNTIFS(Ambulatorio!$M$73:$M$483,"Citas Médicas- Facturación",Ambulatorio!$AG$73:$AG$483,3)</f>
        <v>0</v>
      </c>
      <c r="G22" s="27">
        <f>COUNTIFS(Ambulatorio!$M$73:$M$483,"Citas Médicas- Facturación",Ambulatorio!$AH$73:$AH$483,3)</f>
        <v>0</v>
      </c>
      <c r="H22" s="27">
        <f>COUNTIFS(Ambulatorio!$M$73:$M$483,"Citas Médicas- Facturación",Ambulatorio!$AI$73:$AI$483,3)</f>
        <v>0</v>
      </c>
      <c r="I22" s="27">
        <f>COUNTIFS(Ambulatorio!$M$73:$M$483,"Citas Médicas- Facturación",Ambulatorio!$AJ$73:$AJ$483,3)</f>
        <v>0</v>
      </c>
    </row>
    <row r="23" spans="1:9">
      <c r="A23" s="77" t="s">
        <v>117</v>
      </c>
      <c r="B23" s="27">
        <f>COUNTIFS(Ambulatorio!$M$73:$M$483,"Citas Médicas- Facturación",Ambulatorio!$AC$73:$AC$483,2)</f>
        <v>0</v>
      </c>
      <c r="C23" s="27">
        <f>COUNTIFS(Ambulatorio!$M$73:$M$483,"Citas Médicas- Facturación",Ambulatorio!$AD$73:$AD$483,2)</f>
        <v>0</v>
      </c>
      <c r="D23" s="27">
        <f>COUNTIFS(Ambulatorio!$M$73:$M$483,"Citas Médicas- Facturación",Ambulatorio!$AE$73:$AE$483,2)</f>
        <v>0</v>
      </c>
      <c r="E23" s="27">
        <f>COUNTIFS(Ambulatorio!$M$73:$M$483,"Citas Médicas- Facturación",Ambulatorio!$AF$73:$AF$483,2)</f>
        <v>0</v>
      </c>
      <c r="F23" s="27">
        <f>COUNTIFS(Ambulatorio!$M$73:$M$483,"Citas Médicas- Facturación",Ambulatorio!$AG$73:$AG$483,2)</f>
        <v>0</v>
      </c>
      <c r="G23" s="27">
        <f>COUNTIFS(Ambulatorio!$M$73:$M$483,"Citas Médicas- Facturación",Ambulatorio!$AH$73:$AH$483,2)</f>
        <v>0</v>
      </c>
      <c r="H23" s="27">
        <f>COUNTIFS(Ambulatorio!$M$73:$M$483,"Citas Médicas- Facturación",Ambulatorio!$AI$73:$AI$483,2)</f>
        <v>0</v>
      </c>
      <c r="I23" s="27">
        <f>COUNTIFS(Ambulatorio!$M$73:$M$483,"Citas Médicas- Facturación",Ambulatorio!$AJ$73:$AJ$483,2)</f>
        <v>0</v>
      </c>
    </row>
    <row r="24" spans="1:9">
      <c r="A24" s="77" t="s">
        <v>118</v>
      </c>
      <c r="B24" s="27">
        <f>COUNTIFS(Ambulatorio!$M$73:$M$483,"Citas Médicas- Facturación",Ambulatorio!$AC$73:$AC$483,1)</f>
        <v>0</v>
      </c>
      <c r="C24" s="27">
        <f>COUNTIFS(Ambulatorio!$M$73:$M$483,"Citas Médicas- Facturación",Ambulatorio!$AD$73:$AD$483,1)</f>
        <v>0</v>
      </c>
      <c r="D24" s="27">
        <f>COUNTIFS(Ambulatorio!$M$73:$M$483,"Citas Médicas- Facturación",Ambulatorio!$AE$73:$AE$483,1)</f>
        <v>0</v>
      </c>
      <c r="E24" s="27">
        <f>COUNTIFS(Ambulatorio!$M$73:$M$483,"Citas Médicas- Facturación",Ambulatorio!$AF$73:$AF$483,1)</f>
        <v>0</v>
      </c>
      <c r="F24" s="27">
        <f>COUNTIFS(Ambulatorio!$M$73:$M$483,"Citas Médicas- Facturación",Ambulatorio!$AG$73:$AG$483,1)</f>
        <v>0</v>
      </c>
      <c r="G24" s="27">
        <f>COUNTIFS(Ambulatorio!$M$73:$M$483,"Citas Médicas- Facturación",Ambulatorio!$AH$73:$AH$483,1)</f>
        <v>0</v>
      </c>
      <c r="H24" s="27">
        <f>COUNTIFS(Ambulatorio!$M$73:$M$483,"Citas Médicas- Facturación",Ambulatorio!$AI$73:$AI$483,1)</f>
        <v>0</v>
      </c>
      <c r="I24" s="27">
        <f>COUNTIFS(Ambulatorio!$M$73:$M$483,"Citas Médicas- Facturación",Ambulatorio!$AJ$73:$AJ$483,1)</f>
        <v>0</v>
      </c>
    </row>
    <row r="25" spans="1:9">
      <c r="A25" s="89"/>
      <c r="B25" s="17">
        <f>SUM(B17:B24)</f>
        <v>0</v>
      </c>
      <c r="C25" s="17">
        <f t="shared" ref="C25:I25" si="1">SUM(C17:C24)</f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0</v>
      </c>
    </row>
    <row r="26" spans="1:9">
      <c r="A26" s="89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</row>
    <row r="28" spans="1:9" ht="28.5" customHeight="1">
      <c r="A28" s="25"/>
      <c r="B28" s="186" t="s">
        <v>135</v>
      </c>
      <c r="C28" s="186"/>
      <c r="D28" s="186"/>
      <c r="E28" s="186"/>
      <c r="F28" s="186"/>
      <c r="G28" s="186"/>
      <c r="H28" s="186"/>
      <c r="I28" s="186"/>
    </row>
    <row r="29" spans="1:9" ht="52.8">
      <c r="A29" s="25"/>
      <c r="B29" s="76" t="s">
        <v>152</v>
      </c>
      <c r="C29" s="76" t="s">
        <v>153</v>
      </c>
      <c r="D29" s="76" t="s">
        <v>154</v>
      </c>
      <c r="E29" s="76" t="s">
        <v>155</v>
      </c>
      <c r="F29" s="76" t="s">
        <v>156</v>
      </c>
      <c r="G29" s="76" t="s">
        <v>157</v>
      </c>
      <c r="H29" s="76" t="s">
        <v>158</v>
      </c>
      <c r="I29" s="76" t="s">
        <v>159</v>
      </c>
    </row>
    <row r="30" spans="1:9">
      <c r="A30" s="5" t="s">
        <v>111</v>
      </c>
      <c r="B30" s="27">
        <f>COUNTIFS(Ambulatorio!$M$73:$M$483,"Ayudas Diagnósticas Laboratorio y Patología",Ambulatorio!$AC$73:$AC$483,8)</f>
        <v>0</v>
      </c>
      <c r="C30" s="27">
        <f>COUNTIFS(Ambulatorio!$M$73:$M$483,"Ayudas Diagnósticas Laboratorio y Patología",Ambulatorio!$AD$73:$AD$483,8)</f>
        <v>0</v>
      </c>
      <c r="D30" s="27">
        <f>COUNTIFS(Ambulatorio!$M$73:$M$483,"Ayudas Diagnósticas Laboratorio y Patología",Ambulatorio!$AE$73:$AE$483,8)</f>
        <v>0</v>
      </c>
      <c r="E30" s="27">
        <f>COUNTIFS(Ambulatorio!$M$73:$M$483,"Ayudas Diagnósticas Laboratorio y Patología",Ambulatorio!$AF$73:$AF$483,8)</f>
        <v>0</v>
      </c>
      <c r="F30" s="27">
        <f>COUNTIFS(Ambulatorio!$M$73:$M$483,"Ayudas Diagnósticas Laboratorio y Patología",Ambulatorio!$AG$73:$AG$483,8)</f>
        <v>0</v>
      </c>
      <c r="G30" s="27">
        <f>COUNTIFS(Ambulatorio!$M$73:$M$483,"Ayudas Diagnósticas Laboratorio y Patología",Ambulatorio!$AH$73:$AH$483,8)</f>
        <v>0</v>
      </c>
      <c r="H30" s="27">
        <f>COUNTIFS(Ambulatorio!$M$73:$M$483,"Ayudas Diagnósticas Laboratorio y Patología",Ambulatorio!$AI$73:$AI$483,8)</f>
        <v>0</v>
      </c>
      <c r="I30" s="27">
        <f>COUNTIFS(Ambulatorio!$M$73:$M$483,"Ayudas Diagnósticas Laboratorio y Patología",Ambulatorio!$AJ$73:$AJ$483,8)</f>
        <v>0</v>
      </c>
    </row>
    <row r="31" spans="1:9">
      <c r="A31" s="5" t="s">
        <v>112</v>
      </c>
      <c r="B31" s="27">
        <f>COUNTIFS(Ambulatorio!$M$73:$M$483,"Ayudas Diagnósticas Laboratorio y Patología",Ambulatorio!$AC$73:$AC$483,7)</f>
        <v>0</v>
      </c>
      <c r="C31" s="27">
        <f>COUNTIFS(Ambulatorio!$M$73:$M$483,"Ayudas Diagnósticas Laboratorio y Patología",Ambulatorio!$AD$73:$AD$483,7)</f>
        <v>0</v>
      </c>
      <c r="D31" s="27">
        <f>COUNTIFS(Ambulatorio!$M$73:$M$483,"Ayudas Diagnósticas Laboratorio y Patología",Ambulatorio!$AE$73:$AE$483,7)</f>
        <v>0</v>
      </c>
      <c r="E31" s="27">
        <f>COUNTIFS(Ambulatorio!$M$73:$M$483,"Ayudas Diagnósticas Laboratorio y Patología",Ambulatorio!$AF$73:$AF$483,7)</f>
        <v>0</v>
      </c>
      <c r="F31" s="27">
        <f>COUNTIFS(Ambulatorio!$M$73:$M$483,"Ayudas Diagnósticas Laboratorio y Patología",Ambulatorio!$AG$73:$AG$483,7)</f>
        <v>0</v>
      </c>
      <c r="G31" s="27">
        <f>COUNTIFS(Ambulatorio!$M$73:$M$483,"Ayudas Diagnósticas Laboratorio y Patología",Ambulatorio!$AH$73:$AH$483,7)</f>
        <v>0</v>
      </c>
      <c r="H31" s="27">
        <f>COUNTIFS(Ambulatorio!$M$73:$M$483,"Ayudas Diagnósticas Laboratorio y Patología",Ambulatorio!$AI$73:$AI$483,7)</f>
        <v>0</v>
      </c>
      <c r="I31" s="27">
        <f>COUNTIFS(Ambulatorio!$M$73:$M$483,"Ayudas Diagnósticas Laboratorio y Patología",Ambulatorio!$AJ$73:$AJ$483,7)</f>
        <v>0</v>
      </c>
    </row>
    <row r="32" spans="1:9">
      <c r="A32" s="77" t="s">
        <v>113</v>
      </c>
      <c r="B32" s="27">
        <f>COUNTIFS(Ambulatorio!$M$73:$M$483,"Ayudas Diagnósticas Laboratorio y Patología",Ambulatorio!$AC$73:$AC$483,6)</f>
        <v>0</v>
      </c>
      <c r="C32" s="27">
        <f>COUNTIFS(Ambulatorio!$M$73:$M$483,"Ayudas Diagnósticas Laboratorio y Patología",Ambulatorio!$AD$73:$AD$483,6)</f>
        <v>0</v>
      </c>
      <c r="D32" s="27">
        <f>COUNTIFS(Ambulatorio!$M$73:$M$483,"Ayudas Diagnósticas Laboratorio y Patología",Ambulatorio!$AE$73:$AE$483,6)</f>
        <v>0</v>
      </c>
      <c r="E32" s="27">
        <f>COUNTIFS(Ambulatorio!$M$73:$M$483,"Ayudas Diagnósticas Laboratorio y Patología",Ambulatorio!$AE$73:$AE$483,6)</f>
        <v>0</v>
      </c>
      <c r="F32" s="27">
        <f>COUNTIFS(Ambulatorio!$M$73:$M$483,"Ayudas Diagnósticas Laboratorio y Patología",Ambulatorio!$AG$73:$AG$483,6)</f>
        <v>0</v>
      </c>
      <c r="G32" s="27">
        <f>COUNTIFS(Ambulatorio!$M$73:$M$483,"Ayudas Diagnósticas Laboratorio y Patología",Ambulatorio!$AH$73:$AH$483,6)</f>
        <v>0</v>
      </c>
      <c r="H32" s="27">
        <f>COUNTIFS(Ambulatorio!$M$73:$M$483,"Ayudas Diagnósticas Laboratorio y Patología",Ambulatorio!$AI$73:$AI$483,6)</f>
        <v>0</v>
      </c>
      <c r="I32" s="27">
        <f>COUNTIFS(Ambulatorio!$M$73:$M$483,"Ayudas Diagnósticas Laboratorio y Patología",Ambulatorio!$AJ$73:$AJ$483,6)</f>
        <v>0</v>
      </c>
    </row>
    <row r="33" spans="1:9">
      <c r="A33" s="77" t="s">
        <v>114</v>
      </c>
      <c r="B33" s="27">
        <f>COUNTIFS(Ambulatorio!$M$73:$M$483,"Ayudas Diagnósticas Laboratorio y Patología",Ambulatorio!$AC$73:$AC$483,5)</f>
        <v>20</v>
      </c>
      <c r="C33" s="27">
        <f>COUNTIFS(Ambulatorio!$M$73:$M$483,"Ayudas Diagnósticas Laboratorio y Patología",Ambulatorio!$AD$73:$AD$483,5)</f>
        <v>20</v>
      </c>
      <c r="D33" s="27">
        <f>COUNTIFS(Ambulatorio!$M$73:$M$483,"Ayudas Diagnósticas Laboratorio y Patología",Ambulatorio!$AE$73:$AE$483,5)</f>
        <v>20</v>
      </c>
      <c r="E33" s="27">
        <f>COUNTIFS(Ambulatorio!$M$73:$M$483,"Ayudas Diagnósticas Laboratorio y Patología",Ambulatorio!$AF$73:$AF$483,5)</f>
        <v>20</v>
      </c>
      <c r="F33" s="27">
        <f>COUNTIFS(Ambulatorio!$M$73:$M$483,"Ayudas Diagnósticas Laboratorio y Patología",Ambulatorio!$AG$73:$AG$483,5)</f>
        <v>20</v>
      </c>
      <c r="G33" s="27">
        <f>COUNTIFS(Ambulatorio!$M$73:$M$483,"Ayudas Diagnósticas Laboratorio y Patología",Ambulatorio!$AH$73:$AH$483,5)</f>
        <v>20</v>
      </c>
      <c r="H33" s="27">
        <f>COUNTIFS(Ambulatorio!$M$73:$M$483,"Ayudas Diagnósticas Laboratorio y Patología",Ambulatorio!$AI$73:$AI$483,5)</f>
        <v>20</v>
      </c>
      <c r="I33" s="27">
        <f>COUNTIFS(Ambulatorio!$M$73:$M$483,"Ayudas Diagnósticas Laboratorio y Patología",Ambulatorio!$AJ$73:$AJ$483,5)</f>
        <v>20</v>
      </c>
    </row>
    <row r="34" spans="1:9">
      <c r="A34" s="77" t="s">
        <v>115</v>
      </c>
      <c r="B34" s="27">
        <f>COUNTIFS(Ambulatorio!$M$73:$M$483,"Ayudas Diagnósticas Laboratorio y Patología",Ambulatorio!$AC$73:$AC$483,4)</f>
        <v>0</v>
      </c>
      <c r="C34" s="27">
        <f>COUNTIFS(Ambulatorio!$M$73:$M$483,"Ayudas Diagnósticas Laboratorio y Patología",Ambulatorio!$AD$73:$AD$483,4)</f>
        <v>0</v>
      </c>
      <c r="D34" s="27">
        <f>COUNTIFS(Ambulatorio!$M$73:$M$483,"Ayudas Diagnósticas Laboratorio y Patología",Ambulatorio!$AE$73:$AE$483,4)</f>
        <v>0</v>
      </c>
      <c r="E34" s="27">
        <f>COUNTIFS(Ambulatorio!$M$73:$M$483,"Ayudas Diagnósticas Laboratorio y Patología",Ambulatorio!$AF$73:$AF$483,4)</f>
        <v>0</v>
      </c>
      <c r="F34" s="27">
        <f>COUNTIFS(Ambulatorio!$M$73:$M$483,"Ayudas Diagnósticas Laboratorio y Patología",Ambulatorio!$AG$73:$AG$483,4)</f>
        <v>0</v>
      </c>
      <c r="G34" s="27">
        <f>COUNTIFS(Ambulatorio!$M$73:$M$483,"Ayudas Diagnósticas Laboratorio y Patología",Ambulatorio!$AH$73:$AH$483,4)</f>
        <v>0</v>
      </c>
      <c r="H34" s="27">
        <f>COUNTIFS(Ambulatorio!$M$73:$M$483,"Ayudas Diagnósticas Laboratorio y Patología",Ambulatorio!$AI$73:$AI$483,4)</f>
        <v>0</v>
      </c>
      <c r="I34" s="27">
        <f>COUNTIFS(Ambulatorio!$M$73:$M$483,"Ayudas Diagnósticas Laboratorio y Patología",Ambulatorio!$AJ$73:$AJ$483,4)</f>
        <v>0</v>
      </c>
    </row>
    <row r="35" spans="1:9">
      <c r="A35" s="77" t="s">
        <v>116</v>
      </c>
      <c r="B35" s="27">
        <f>COUNTIFS(Ambulatorio!$M$73:$M$483,"Ayudas Diagnósticas Laboratorio y Patología",Ambulatorio!$AC$73:$AC$483,3)</f>
        <v>0</v>
      </c>
      <c r="C35" s="27">
        <f>COUNTIFS(Ambulatorio!$M$73:$M$483,"Ayudas Diagnósticas Laboratorio y Patología",Ambulatorio!$AD$73:$AD$483,3)</f>
        <v>0</v>
      </c>
      <c r="D35" s="27">
        <f>COUNTIFS(Ambulatorio!$M$73:$M$483,"Ayudas Diagnósticas Laboratorio y Patología",Ambulatorio!$AE$73:$AE$483,3)</f>
        <v>0</v>
      </c>
      <c r="E35" s="27">
        <f>COUNTIFS(Ambulatorio!$M$73:$M$483,"Ayudas Diagnósticas Laboratorio y Patología",Ambulatorio!$AF$73:$AF$483,3)</f>
        <v>0</v>
      </c>
      <c r="F35" s="27">
        <f>COUNTIFS(Ambulatorio!$M$73:$M$483,"Ayudas Diagnósticas Laboratorio y Patología",Ambulatorio!$AG$73:$AG$483,3)</f>
        <v>0</v>
      </c>
      <c r="G35" s="27">
        <f>COUNTIFS(Ambulatorio!$M$73:$M$483,"Ayudas Diagnósticas Laboratorio y Patología",Ambulatorio!$AH$73:$AH$483,3)</f>
        <v>0</v>
      </c>
      <c r="H35" s="27">
        <f>COUNTIFS(Ambulatorio!$M$73:$M$483,"Ayudas Diagnósticas Laboratorio y Patología",Ambulatorio!$AI$73:$AI$483,3)</f>
        <v>0</v>
      </c>
      <c r="I35" s="27">
        <f>COUNTIFS(Ambulatorio!$M$73:$M$483,"Ayudas Diagnósticas Laboratorio y Patología",Ambulatorio!$AJ$73:$AJ$483,3)</f>
        <v>0</v>
      </c>
    </row>
    <row r="36" spans="1:9">
      <c r="A36" s="77" t="s">
        <v>117</v>
      </c>
      <c r="B36" s="27">
        <f>COUNTIFS(Ambulatorio!$M$73:$M$483,"Ayudas Diagnósticas Laboratorio y Patología",Ambulatorio!$AC$73:$AC$483,2)</f>
        <v>0</v>
      </c>
      <c r="C36" s="27">
        <f>COUNTIFS(Ambulatorio!$M$73:$M$483,"Ayudas Diagnósticas Laboratorio y Patología",Ambulatorio!$AD$73:$AD$483,2)</f>
        <v>0</v>
      </c>
      <c r="D36" s="27">
        <f>COUNTIFS(Ambulatorio!$M$73:$M$483,"Ayudas Diagnósticas Laboratorio y Patología",Ambulatorio!$AE$73:$AE$483,2)</f>
        <v>0</v>
      </c>
      <c r="E36" s="27">
        <f>COUNTIFS(Ambulatorio!$M$73:$M$483,"Ayudas Diagnósticas Laboratorio y Patología",Ambulatorio!$AF$73:$AF$483,2)</f>
        <v>0</v>
      </c>
      <c r="F36" s="27">
        <f>COUNTIFS(Ambulatorio!$M$73:$M$483,"Ayudas Diagnósticas Laboratorio y Patología",Ambulatorio!$AG$73:$AG$483,2)</f>
        <v>0</v>
      </c>
      <c r="G36" s="27">
        <f>COUNTIFS(Ambulatorio!$M$73:$M$483,"Ayudas Diagnósticas Laboratorio y Patología",Ambulatorio!$AH$73:$AH$483,2)</f>
        <v>0</v>
      </c>
      <c r="H36" s="27">
        <f>COUNTIFS(Ambulatorio!$M$73:$M$483,"Ayudas Diagnósticas Laboratorio y Patología",Ambulatorio!$AI$73:$AI$483,2)</f>
        <v>0</v>
      </c>
      <c r="I36" s="27">
        <f>COUNTIFS(Ambulatorio!$M$73:$M$483,"Ayudas Diagnósticas Laboratorio y Patología",Ambulatorio!$AJ$73:$AJ$483,2)</f>
        <v>0</v>
      </c>
    </row>
    <row r="37" spans="1:9">
      <c r="A37" s="77" t="s">
        <v>118</v>
      </c>
      <c r="B37" s="27">
        <f>COUNTIFS(Ambulatorio!$M$73:$M$483,"Ayudas Diagnósticas Laboratorio y Patología",Ambulatorio!$AC$73:$AC$483,1)</f>
        <v>0</v>
      </c>
      <c r="C37" s="27">
        <f>COUNTIFS(Ambulatorio!$M$73:$M$483,"Ayudas Diagnósticas Laboratorio y Patología",Ambulatorio!$AD$73:$AD$483,1)</f>
        <v>0</v>
      </c>
      <c r="D37" s="27">
        <f>COUNTIFS(Ambulatorio!$M$73:$M$483,"Ayudas Diagnósticas Laboratorio y Patología",Ambulatorio!$AE$73:$AE$483,1)</f>
        <v>0</v>
      </c>
      <c r="E37" s="27">
        <f>COUNTIFS(Ambulatorio!$M$73:$M$483,"Ayudas Diagnósticas Laboratorio y Patología",Ambulatorio!$AF$73:$AF$483,1)</f>
        <v>0</v>
      </c>
      <c r="F37" s="27">
        <f>COUNTIFS(Ambulatorio!$M$73:$M$483,"Ayudas Diagnósticas Laboratorio y Patología",Ambulatorio!$AG$73:$AG$483,1)</f>
        <v>0</v>
      </c>
      <c r="G37" s="27">
        <f>COUNTIFS(Ambulatorio!$M$73:$M$483,"Ayudas Diagnósticas Laboratorio y Patología",Ambulatorio!$AH$73:$AH$483,1)</f>
        <v>0</v>
      </c>
      <c r="H37" s="27">
        <f>COUNTIFS(Ambulatorio!$M$73:$M$483,"Ayudas Diagnósticas Laboratorio y Patología",Ambulatorio!$AI$73:$AI$483,1)</f>
        <v>0</v>
      </c>
      <c r="I37" s="27">
        <f>COUNTIFS(Ambulatorio!$M$73:$M$483,"Ayudas Diagnósticas Laboratorio y Patología",Ambulatorio!$AJ$73:$AJ$483,1)</f>
        <v>0</v>
      </c>
    </row>
    <row r="38" spans="1:9">
      <c r="A38" s="25"/>
      <c r="B38" s="27">
        <f>SUM(B30:B37)</f>
        <v>20</v>
      </c>
      <c r="C38" s="27">
        <f t="shared" ref="C38:I38" si="2">SUM(C31:C37)</f>
        <v>20</v>
      </c>
      <c r="D38" s="27">
        <f t="shared" si="2"/>
        <v>20</v>
      </c>
      <c r="E38" s="27">
        <f t="shared" si="2"/>
        <v>20</v>
      </c>
      <c r="F38" s="27">
        <f t="shared" si="2"/>
        <v>20</v>
      </c>
      <c r="G38" s="27">
        <f t="shared" si="2"/>
        <v>20</v>
      </c>
      <c r="H38" s="27">
        <f t="shared" si="2"/>
        <v>20</v>
      </c>
      <c r="I38" s="27">
        <f t="shared" si="2"/>
        <v>20</v>
      </c>
    </row>
    <row r="39" spans="1:9">
      <c r="A39" s="25"/>
    </row>
    <row r="40" spans="1:9" ht="23.25" customHeight="1">
      <c r="A40" s="25"/>
      <c r="B40" s="187" t="s">
        <v>3</v>
      </c>
      <c r="C40" s="187"/>
      <c r="D40" s="187"/>
      <c r="E40" s="187"/>
      <c r="F40" s="187"/>
      <c r="G40" s="187"/>
      <c r="H40" s="187"/>
      <c r="I40" s="187"/>
    </row>
    <row r="41" spans="1:9" ht="52.8">
      <c r="A41" s="25"/>
      <c r="B41" s="76" t="s">
        <v>152</v>
      </c>
      <c r="C41" s="76" t="s">
        <v>153</v>
      </c>
      <c r="D41" s="76" t="s">
        <v>154</v>
      </c>
      <c r="E41" s="76" t="s">
        <v>155</v>
      </c>
      <c r="F41" s="76" t="s">
        <v>156</v>
      </c>
      <c r="G41" s="76" t="s">
        <v>157</v>
      </c>
      <c r="H41" s="76" t="s">
        <v>158</v>
      </c>
      <c r="I41" s="76" t="s">
        <v>159</v>
      </c>
    </row>
    <row r="42" spans="1:9">
      <c r="A42" s="5" t="s">
        <v>111</v>
      </c>
      <c r="B42" s="27">
        <f>COUNTIFS(Ambulatorio!$M$73:$M$483,"Ayudas Diagnósticas RX - TAC",Ambulatorio!$AC$73:$AC$483,8)</f>
        <v>0</v>
      </c>
      <c r="C42" s="27">
        <f>COUNTIFS(Ambulatorio!$M$73:$M$483,"Ayudas Diagnósticas RX - TAC",Ambulatorio!$AD$73:$AD$483,8)</f>
        <v>0</v>
      </c>
      <c r="D42" s="27">
        <f>COUNTIFS(Ambulatorio!$M$73:$M$483,"Ayudas Diagnósticas RX - TAC",Ambulatorio!$AE$73:$AE$483,8)</f>
        <v>0</v>
      </c>
      <c r="E42" s="27">
        <f>COUNTIFS(Ambulatorio!$M$73:$M$483,"Ayudas Diagnósticas RX - TAC",Ambulatorio!$AF$73:$AF$483,8)</f>
        <v>0</v>
      </c>
      <c r="F42" s="27">
        <f>COUNTIFS(Ambulatorio!$M$73:$M$483,"Ayudas Diagnósticas RX - TAC",Ambulatorio!$AG$73:$AG$483,8)</f>
        <v>0</v>
      </c>
      <c r="G42" s="27">
        <f>COUNTIFS(Ambulatorio!$M$73:$M$483,"Ayudas Diagnósticas RX - TAC",Ambulatorio!$AH$73:$AH$483,8)</f>
        <v>0</v>
      </c>
      <c r="H42" s="27">
        <f>COUNTIFS(Ambulatorio!$M$73:$M$483,"Ayudas Diagnósticas RX - TAC",Ambulatorio!$AI$73:$AI$483,8)</f>
        <v>0</v>
      </c>
      <c r="I42" s="27">
        <f>COUNTIFS(Ambulatorio!$M$73:$M$483,"Ayudas Diagnósticas RX - TAC",Ambulatorio!$AJ$73:$AJ$483,8)</f>
        <v>0</v>
      </c>
    </row>
    <row r="43" spans="1:9">
      <c r="A43" s="5" t="s">
        <v>112</v>
      </c>
      <c r="B43" s="27">
        <f>COUNTIFS(Ambulatorio!$M$73:$M$483,"Ayudas Diagnósticas RX - TAC",Ambulatorio!$AC$73:$AC$483,7)</f>
        <v>0</v>
      </c>
      <c r="C43" s="27">
        <f>COUNTIFS(Ambulatorio!$M$73:$M$483,"Ayudas Diagnósticas RX - TAC",Ambulatorio!$AD$73:$AD$483,7)</f>
        <v>0</v>
      </c>
      <c r="D43" s="27">
        <f>COUNTIFS(Ambulatorio!$M$73:$M$483,"Ayudas Diagnósticas RX - TAC",Ambulatorio!$AE$73:$AE$483,7)</f>
        <v>0</v>
      </c>
      <c r="E43" s="27">
        <f>COUNTIFS(Ambulatorio!$M$73:$M$483,"Ayudas Diagnósticas RX - TAC",Ambulatorio!$AF$73:$AF$483,7)</f>
        <v>0</v>
      </c>
      <c r="F43" s="27">
        <f>COUNTIFS(Ambulatorio!$M$73:$M$483,"Ayudas Diagnósticas RX - TAC",Ambulatorio!$AG$73:$AG$483,7)</f>
        <v>0</v>
      </c>
      <c r="G43" s="27">
        <f>COUNTIFS(Ambulatorio!$M$73:$M$483,"Ayudas Diagnósticas RX - TAC",Ambulatorio!$AH$73:$AH$483,7)</f>
        <v>0</v>
      </c>
      <c r="H43" s="27">
        <f>COUNTIFS(Ambulatorio!$M$73:$M$483,"Ayudas Diagnósticas RX - TAC",Ambulatorio!$AI$73:$AI$483,7)</f>
        <v>0</v>
      </c>
      <c r="I43" s="27">
        <f>COUNTIFS(Ambulatorio!$M$73:$M$483,"Ayudas Diagnósticas RX - TAC",Ambulatorio!$AJ$73:$AJ$483,7)</f>
        <v>0</v>
      </c>
    </row>
    <row r="44" spans="1:9">
      <c r="A44" s="77" t="s">
        <v>113</v>
      </c>
      <c r="B44" s="27">
        <f>COUNTIFS(Ambulatorio!$M$73:$M$483,"Ayudas Diagnósticas RX - TAC",Ambulatorio!$AC$73:$AC$483,6)</f>
        <v>0</v>
      </c>
      <c r="C44" s="27">
        <f>COUNTIFS(Ambulatorio!$M$73:$M$483,"Ayudas Diagnósticas RX - TAC",Ambulatorio!$AD$73:$AD$483,6)</f>
        <v>0</v>
      </c>
      <c r="D44" s="27">
        <f>COUNTIFS(Ambulatorio!$M$73:$M$483,"Ayudas Diagnósticas RX - TAC",Ambulatorio!$AE$73:$AE$483,6)</f>
        <v>0</v>
      </c>
      <c r="E44" s="27">
        <f>COUNTIFS(Ambulatorio!$M$73:$M$483,"Ayudas Diagnósticas RX - TAC",Ambulatorio!$AE$73:$AE$483,6)</f>
        <v>0</v>
      </c>
      <c r="F44" s="27">
        <f>COUNTIFS(Ambulatorio!$M$73:$M$483,"Ayudas Diagnósticas RX - TAC",Ambulatorio!$AG$73:$AG$483,6)</f>
        <v>0</v>
      </c>
      <c r="G44" s="27">
        <f>COUNTIFS(Ambulatorio!$M$73:$M$483,"Ayudas Diagnósticas RX - TAC",Ambulatorio!$AH$73:$AH$483,6)</f>
        <v>0</v>
      </c>
      <c r="H44" s="27">
        <f>COUNTIFS(Ambulatorio!$M$73:$M$483,"Ayudas Diagnósticas RX - TAC",Ambulatorio!$AI$73:$AI$483,6)</f>
        <v>0</v>
      </c>
      <c r="I44" s="27">
        <f>COUNTIFS(Ambulatorio!$M$73:$M$483,"Ayudas Diagnósticas RX - TAC",Ambulatorio!$AJ$73:$AJ$483,6)</f>
        <v>0</v>
      </c>
    </row>
    <row r="45" spans="1:9">
      <c r="A45" s="77" t="s">
        <v>114</v>
      </c>
      <c r="B45" s="27">
        <f>COUNTIFS(Ambulatorio!$M$73:$M$483,"Ayudas Diagnósticas RX - TAC",Ambulatorio!$AC$73:$AC$483,5)</f>
        <v>21</v>
      </c>
      <c r="C45" s="27">
        <f>COUNTIFS(Ambulatorio!$M$73:$M$483,"Ayudas Diagnósticas RX - TAC",Ambulatorio!$AD$73:$AD$483,5)</f>
        <v>21</v>
      </c>
      <c r="D45" s="27">
        <f>COUNTIFS(Ambulatorio!$M$73:$M$483,"Ayudas Diagnósticas RX - TAC",Ambulatorio!$AE$73:$AE$483,5)</f>
        <v>21</v>
      </c>
      <c r="E45" s="27">
        <f>COUNTIFS(Ambulatorio!$M$73:$M$483,"Ayudas Diagnósticas RX - TAC",Ambulatorio!$AF$73:$AF$483,5)</f>
        <v>21</v>
      </c>
      <c r="F45" s="27">
        <f>COUNTIFS(Ambulatorio!$M$73:$M$483,"Ayudas Diagnósticas RX - TAC",Ambulatorio!$AG$73:$AG$483,5)</f>
        <v>21</v>
      </c>
      <c r="G45" s="27">
        <f>COUNTIFS(Ambulatorio!$M$73:$M$483,"Ayudas Diagnósticas RX - TAC",Ambulatorio!$AH$73:$AH$483,5)</f>
        <v>21</v>
      </c>
      <c r="H45" s="27">
        <f>COUNTIFS(Ambulatorio!$M$73:$M$483,"Ayudas Diagnósticas RX - TAC",Ambulatorio!$AI$73:$AI$483,5)</f>
        <v>21</v>
      </c>
      <c r="I45" s="27">
        <f>COUNTIFS(Ambulatorio!$M$73:$M$483,"Ayudas Diagnósticas RX - TAC",Ambulatorio!$AJ$73:$AJ$483,5)</f>
        <v>21</v>
      </c>
    </row>
    <row r="46" spans="1:9">
      <c r="A46" s="77" t="s">
        <v>115</v>
      </c>
      <c r="B46" s="27">
        <f>COUNTIFS(Ambulatorio!$M$73:$M$483,"Ayudas Diagnósticas RX - TAC",Ambulatorio!$AC$73:$AC$483,4)</f>
        <v>0</v>
      </c>
      <c r="C46" s="27">
        <f>COUNTIFS(Ambulatorio!$M$73:$M$483,"Ayudas Diagnósticas RX - TAC",Ambulatorio!$AD$73:$AD$483,4)</f>
        <v>0</v>
      </c>
      <c r="D46" s="27">
        <f>COUNTIFS(Ambulatorio!$M$73:$M$483,"Ayudas Diagnósticas RX - TAC",Ambulatorio!$AE$73:$AE$483,4)</f>
        <v>0</v>
      </c>
      <c r="E46" s="27">
        <f>COUNTIFS(Ambulatorio!$M$73:$M$483,"Ayudas Diagnósticas RX - TAC",Ambulatorio!$AF$73:$AF$483,4)</f>
        <v>0</v>
      </c>
      <c r="F46" s="27">
        <f>COUNTIFS(Ambulatorio!$M$73:$M$483,"Ayudas Diagnósticas RX - TAC",Ambulatorio!$AG$73:$AG$483,4)</f>
        <v>0</v>
      </c>
      <c r="G46" s="27">
        <f>COUNTIFS(Ambulatorio!$M$73:$M$483,"Ayudas Diagnósticas RX - TAC",Ambulatorio!$AH$73:$AH$483,4)</f>
        <v>0</v>
      </c>
      <c r="H46" s="27">
        <f>COUNTIFS(Ambulatorio!$M$73:$M$483,"Ayudas Diagnósticas RX - TAC",Ambulatorio!$AI$73:$AI$483,4)</f>
        <v>0</v>
      </c>
      <c r="I46" s="27">
        <f>COUNTIFS(Ambulatorio!$M$73:$M$483,"Ayudas Diagnósticas RX - TAC",Ambulatorio!$AJ$73:$AJ$483,4)</f>
        <v>0</v>
      </c>
    </row>
    <row r="47" spans="1:9">
      <c r="A47" s="77" t="s">
        <v>116</v>
      </c>
      <c r="B47" s="27">
        <f>COUNTIFS(Ambulatorio!$M$73:$M$483,"Ayudas Diagnósticas RX - TAC",Ambulatorio!$AC$73:$AC$483,3)</f>
        <v>0</v>
      </c>
      <c r="C47" s="27">
        <f>COUNTIFS(Ambulatorio!$M$73:$M$483,"Ayudas Diagnósticas RX - TAC",Ambulatorio!$AD$73:$AD$483,3)</f>
        <v>0</v>
      </c>
      <c r="D47" s="27">
        <f>COUNTIFS(Ambulatorio!$M$73:$M$483,"Ayudas Diagnósticas RX - TAC",Ambulatorio!$AE$73:$AE$483,3)</f>
        <v>0</v>
      </c>
      <c r="E47" s="27">
        <f>COUNTIFS(Ambulatorio!$M$73:$M$483,"Ayudas Diagnósticas RX - TAC",Ambulatorio!$AF$73:$AF$483,3)</f>
        <v>0</v>
      </c>
      <c r="F47" s="27">
        <f>COUNTIFS(Ambulatorio!$M$73:$M$483,"Ayudas Diagnósticas RX - TAC",Ambulatorio!$AG$73:$AG$483,3)</f>
        <v>0</v>
      </c>
      <c r="G47" s="27">
        <f>COUNTIFS(Ambulatorio!$M$73:$M$483,"Ayudas Diagnósticas RX - TAC",Ambulatorio!$AH$73:$AH$483,3)</f>
        <v>0</v>
      </c>
      <c r="H47" s="27">
        <f>COUNTIFS(Ambulatorio!$M$73:$M$483,"Ayudas Diagnósticas RX - TAC",Ambulatorio!$AI$73:$AI$483,3)</f>
        <v>0</v>
      </c>
      <c r="I47" s="27">
        <f>COUNTIFS(Ambulatorio!$M$73:$M$483,"Ayudas Diagnósticas RX - TAC",Ambulatorio!$AJ$73:$AJ$483,3)</f>
        <v>0</v>
      </c>
    </row>
    <row r="48" spans="1:9">
      <c r="A48" s="77" t="s">
        <v>117</v>
      </c>
      <c r="B48" s="27">
        <f>COUNTIFS(Ambulatorio!$M$73:$M$483,"Ayudas Diagnósticas RX - TAC",Ambulatorio!$AC$73:$AC$483,2)</f>
        <v>0</v>
      </c>
      <c r="C48" s="27">
        <f>COUNTIFS(Ambulatorio!$M$73:$M$483,"Ayudas Diagnósticas RX - TAC",Ambulatorio!$AD$73:$AD$483,2)</f>
        <v>0</v>
      </c>
      <c r="D48" s="27">
        <f>COUNTIFS(Ambulatorio!$M$73:$M$483,"Ayudas Diagnósticas RX - TAC",Ambulatorio!$AE$73:$AE$483,2)</f>
        <v>0</v>
      </c>
      <c r="E48" s="27">
        <f>COUNTIFS(Ambulatorio!$M$73:$M$483,"Ayudas Diagnósticas RX - TAC",Ambulatorio!$AF$73:$AF$483,2)</f>
        <v>0</v>
      </c>
      <c r="F48" s="27">
        <f>COUNTIFS(Ambulatorio!$M$73:$M$483,"Ayudas Diagnósticas RX - TAC",Ambulatorio!$AG$73:$AG$483,2)</f>
        <v>0</v>
      </c>
      <c r="G48" s="27">
        <f>COUNTIFS(Ambulatorio!$M$73:$M$483,"Ayudas Diagnósticas RX - TAC",Ambulatorio!$AH$73:$AH$483,2)</f>
        <v>0</v>
      </c>
      <c r="H48" s="27">
        <f>COUNTIFS(Ambulatorio!$M$73:$M$483,"Ayudas Diagnósticas RX - TAC",Ambulatorio!$AI$73:$AI$483,2)</f>
        <v>0</v>
      </c>
      <c r="I48" s="27">
        <f>COUNTIFS(Ambulatorio!$M$73:$M$483,"Ayudas Diagnósticas RX - TAC",Ambulatorio!$AJ$73:$AJ$483,2)</f>
        <v>0</v>
      </c>
    </row>
    <row r="49" spans="1:9">
      <c r="A49" s="77" t="s">
        <v>118</v>
      </c>
      <c r="B49" s="27">
        <f>COUNTIFS(Ambulatorio!$M$73:$M$483,"Ayudas Diagnósticas RX - TAC",Ambulatorio!$AC$73:$AC$483,1)</f>
        <v>0</v>
      </c>
      <c r="C49" s="27">
        <f>COUNTIFS(Ambulatorio!$M$73:$M$483,"Ayudas Diagnósticas RX - TAC",Ambulatorio!$AD$73:$AD$483,1)</f>
        <v>0</v>
      </c>
      <c r="D49" s="27">
        <f>COUNTIFS(Ambulatorio!$M$73:$M$483,"Ayudas Diagnósticas RX - TAC",Ambulatorio!$AE$73:$AE$483,1)</f>
        <v>0</v>
      </c>
      <c r="E49" s="27">
        <f>COUNTIFS(Ambulatorio!$M$73:$M$483,"Ayudas Diagnósticas RX - TAC",Ambulatorio!$AF$73:$AF$483,1)</f>
        <v>0</v>
      </c>
      <c r="F49" s="27">
        <f>COUNTIFS(Ambulatorio!$M$73:$M$483,"Ayudas Diagnósticas RX - TAC",Ambulatorio!$AG$73:$AG$483,1)</f>
        <v>0</v>
      </c>
      <c r="G49" s="27">
        <f>COUNTIFS(Ambulatorio!$M$73:$M$483,"Ayudas Diagnósticas RX - TAC",Ambulatorio!$AH$73:$AH$483,1)</f>
        <v>0</v>
      </c>
      <c r="H49" s="27">
        <f>COUNTIFS(Ambulatorio!$M$73:$M$483,"Ayudas Diagnósticas RX - TAC",Ambulatorio!$AI$73:$AI$483,1)</f>
        <v>0</v>
      </c>
      <c r="I49" s="27">
        <f>COUNTIFS(Ambulatorio!$M$73:$M$483,"Ayudas Diagnósticas RX - TAC",Ambulatorio!$AJ$73:$AJ$483,1)</f>
        <v>0</v>
      </c>
    </row>
    <row r="50" spans="1:9">
      <c r="A50" s="25"/>
      <c r="B50" s="17">
        <f>SUM(B42:B49)</f>
        <v>21</v>
      </c>
      <c r="C50" s="17">
        <f t="shared" ref="C50:I50" si="3">SUM(C43:C49)</f>
        <v>21</v>
      </c>
      <c r="D50" s="17">
        <f t="shared" si="3"/>
        <v>21</v>
      </c>
      <c r="E50" s="17">
        <f t="shared" si="3"/>
        <v>21</v>
      </c>
      <c r="F50" s="17">
        <f t="shared" si="3"/>
        <v>21</v>
      </c>
      <c r="G50" s="17">
        <f t="shared" si="3"/>
        <v>21</v>
      </c>
      <c r="H50" s="17">
        <f t="shared" si="3"/>
        <v>21</v>
      </c>
      <c r="I50" s="17">
        <f t="shared" si="3"/>
        <v>21</v>
      </c>
    </row>
    <row r="51" spans="1:9">
      <c r="A51" s="25"/>
    </row>
    <row r="52" spans="1:9" ht="24" customHeight="1">
      <c r="A52" s="25"/>
      <c r="B52" s="188" t="s">
        <v>129</v>
      </c>
      <c r="C52" s="188"/>
      <c r="D52" s="188"/>
      <c r="E52" s="188"/>
      <c r="F52" s="188"/>
      <c r="G52" s="188"/>
      <c r="H52" s="188"/>
      <c r="I52" s="188"/>
    </row>
    <row r="53" spans="1:9" ht="52.8">
      <c r="A53" s="25"/>
      <c r="B53" s="76" t="s">
        <v>152</v>
      </c>
      <c r="C53" s="76" t="s">
        <v>153</v>
      </c>
      <c r="D53" s="76" t="s">
        <v>154</v>
      </c>
      <c r="E53" s="76" t="s">
        <v>155</v>
      </c>
      <c r="F53" s="76" t="s">
        <v>156</v>
      </c>
      <c r="G53" s="76" t="s">
        <v>157</v>
      </c>
      <c r="H53" s="76" t="s">
        <v>158</v>
      </c>
      <c r="I53" s="76" t="s">
        <v>159</v>
      </c>
    </row>
    <row r="54" spans="1:9">
      <c r="A54" s="5" t="s">
        <v>111</v>
      </c>
      <c r="B54" s="27">
        <f>COUNTIFS(Ambulatorio!$M$73:$M$483,"Terapias",Ambulatorio!$AC$73:$AC$483,8)</f>
        <v>0</v>
      </c>
      <c r="C54" s="27">
        <f>COUNTIFS(Ambulatorio!$M$73:$M$483,"Terapias",Ambulatorio!$AD$73:$AD$483,8)</f>
        <v>0</v>
      </c>
      <c r="D54" s="27">
        <f>COUNTIFS(Ambulatorio!$M$73:$M$483,"Terapias",Ambulatorio!$AE$73:$AE$483,8)</f>
        <v>0</v>
      </c>
      <c r="E54" s="27">
        <f>COUNTIFS(Ambulatorio!$M$73:$M$483,"Terapias",Ambulatorio!$AF$73:$AF$483,8)</f>
        <v>0</v>
      </c>
      <c r="F54" s="27">
        <f>COUNTIFS(Ambulatorio!$M$73:$M$483,"Terapias",Ambulatorio!$AG$73:$AG$483,8)</f>
        <v>0</v>
      </c>
      <c r="G54" s="27">
        <f>COUNTIFS(Ambulatorio!$M$73:$M$483,"Terapias",Ambulatorio!$AH$73:$AH$483,8)</f>
        <v>0</v>
      </c>
      <c r="H54" s="27">
        <f>COUNTIFS(Ambulatorio!$M$73:$M$483,"Terapias",Ambulatorio!$AI$73:$AI$483,8)</f>
        <v>0</v>
      </c>
      <c r="I54" s="27">
        <f>COUNTIFS(Ambulatorio!$M$73:$M$483,"Terapias",Ambulatorio!$AJ$73:$AJ$483,8)</f>
        <v>0</v>
      </c>
    </row>
    <row r="55" spans="1:9">
      <c r="A55" s="5" t="s">
        <v>112</v>
      </c>
      <c r="B55" s="27">
        <f>COUNTIFS(Ambulatorio!$M$73:$M$483,"Terapias",Ambulatorio!$AC$73:$AC$483,7)</f>
        <v>0</v>
      </c>
      <c r="C55" s="27">
        <f>COUNTIFS(Ambulatorio!$M$73:$M$483,"Terapias",Ambulatorio!$AD$73:$AD$483,7)</f>
        <v>0</v>
      </c>
      <c r="D55" s="27">
        <f>COUNTIFS(Ambulatorio!$M$73:$M$483,"Terapias",Ambulatorio!$AE$73:$AE$483,7)</f>
        <v>0</v>
      </c>
      <c r="E55" s="27">
        <f>COUNTIFS(Ambulatorio!$M$73:$M$483,"Terapias",Ambulatorio!$AF$73:$AF$483,7)</f>
        <v>0</v>
      </c>
      <c r="F55" s="27">
        <f>COUNTIFS(Ambulatorio!$M$73:$M$483,"Terapias",Ambulatorio!$AG$73:$AG$483,7)</f>
        <v>0</v>
      </c>
      <c r="G55" s="27">
        <f>COUNTIFS(Ambulatorio!$M$73:$M$483,"Terapias",Ambulatorio!$AH$73:$AH$483,7)</f>
        <v>0</v>
      </c>
      <c r="H55" s="27">
        <f>COUNTIFS(Ambulatorio!$M$73:$M$483,"Terapias",Ambulatorio!$AI$73:$AI$483,7)</f>
        <v>0</v>
      </c>
      <c r="I55" s="27">
        <f>COUNTIFS(Ambulatorio!$M$73:$M$483,"Terapias",Ambulatorio!$AJ$73:$AJ$483,7)</f>
        <v>0</v>
      </c>
    </row>
    <row r="56" spans="1:9">
      <c r="A56" s="77" t="s">
        <v>113</v>
      </c>
      <c r="B56" s="27">
        <f>COUNTIFS(Ambulatorio!$M$73:$M$483,"Terapias",Ambulatorio!$AC$73:$AC$483,6)</f>
        <v>0</v>
      </c>
      <c r="C56" s="27">
        <f>COUNTIFS(Ambulatorio!$M$73:$M$483,"Terapias",Ambulatorio!$AD$73:$AD$483,6)</f>
        <v>0</v>
      </c>
      <c r="D56" s="27">
        <f>COUNTIFS(Ambulatorio!$M$73:$M$483,"Terapias",Ambulatorio!$AE$73:$AE$483,6)</f>
        <v>0</v>
      </c>
      <c r="E56" s="27">
        <f>COUNTIFS(Ambulatorio!$M$73:$M$483,"Terapias",Ambulatorio!$AE$73:$AE$483,6)</f>
        <v>0</v>
      </c>
      <c r="F56" s="27">
        <f>COUNTIFS(Ambulatorio!$M$73:$M$483,"Terapias",Ambulatorio!$AG$73:$AG$483,6)</f>
        <v>0</v>
      </c>
      <c r="G56" s="27">
        <f>COUNTIFS(Ambulatorio!$M$73:$M$483,"Terapias",Ambulatorio!$AH$73:$AH$483,6)</f>
        <v>0</v>
      </c>
      <c r="H56" s="27">
        <f>COUNTIFS(Ambulatorio!$M$73:$M$483,"Terapias",Ambulatorio!$AI$73:$AI$483,6)</f>
        <v>0</v>
      </c>
      <c r="I56" s="27">
        <f>COUNTIFS(Ambulatorio!$M$73:$M$483,"Terapias",Ambulatorio!$AJ$73:$AJ$483,6)</f>
        <v>0</v>
      </c>
    </row>
    <row r="57" spans="1:9">
      <c r="A57" s="77" t="s">
        <v>114</v>
      </c>
      <c r="B57" s="27">
        <f>COUNTIFS(Ambulatorio!$M$73:$M$483,"Terapias",Ambulatorio!$AC$73:$AC$483,5)</f>
        <v>0</v>
      </c>
      <c r="C57" s="27">
        <f>COUNTIFS(Ambulatorio!$M$73:$M$483,"Terapias",Ambulatorio!$AD$73:$AD$483,5)</f>
        <v>0</v>
      </c>
      <c r="D57" s="27">
        <f>COUNTIFS(Ambulatorio!$M$73:$M$483,"Terapias",Ambulatorio!$AE$73:$AE$483,5)</f>
        <v>0</v>
      </c>
      <c r="E57" s="27">
        <f>COUNTIFS(Ambulatorio!$M$73:$M$483,"Terapias",Ambulatorio!$AF$73:$AF$483,5)</f>
        <v>0</v>
      </c>
      <c r="F57" s="27">
        <f>COUNTIFS(Ambulatorio!$M$73:$M$483,"Terapias",Ambulatorio!$AG$73:$AG$483,5)</f>
        <v>0</v>
      </c>
      <c r="G57" s="27">
        <f>COUNTIFS(Ambulatorio!$M$73:$M$483,"Terapias",Ambulatorio!$AH$73:$AH$483,5)</f>
        <v>0</v>
      </c>
      <c r="H57" s="27">
        <f>COUNTIFS(Ambulatorio!$M$73:$M$483,"Terapias",Ambulatorio!$AI$73:$AI$483,5)</f>
        <v>0</v>
      </c>
      <c r="I57" s="27">
        <f>COUNTIFS(Ambulatorio!$M$73:$M$483,"Terapias",Ambulatorio!$AJ$73:$AJ$483,5)</f>
        <v>0</v>
      </c>
    </row>
    <row r="58" spans="1:9">
      <c r="A58" s="77" t="s">
        <v>115</v>
      </c>
      <c r="B58" s="27">
        <f>COUNTIFS(Ambulatorio!$M$73:$M$483,"Terapias",Ambulatorio!$AC$73:$AC$483,4)</f>
        <v>0</v>
      </c>
      <c r="C58" s="27">
        <f>COUNTIFS(Ambulatorio!$M$73:$M$483,"Terapias",Ambulatorio!$AD$73:$AD$483,4)</f>
        <v>0</v>
      </c>
      <c r="D58" s="27">
        <f>COUNTIFS(Ambulatorio!$M$73:$M$483,"Terapias",Ambulatorio!$AE$73:$AE$483,4)</f>
        <v>0</v>
      </c>
      <c r="E58" s="27">
        <f>COUNTIFS(Ambulatorio!$M$73:$M$483,"Terapias",Ambulatorio!$AF$73:$AF$483,4)</f>
        <v>0</v>
      </c>
      <c r="F58" s="27">
        <f>COUNTIFS(Ambulatorio!$M$73:$M$483,"Terapias",Ambulatorio!$AG$73:$AG$483,4)</f>
        <v>0</v>
      </c>
      <c r="G58" s="27">
        <f>COUNTIFS(Ambulatorio!$M$73:$M$483,"Terapias",Ambulatorio!$AH$73:$AH$483,4)</f>
        <v>0</v>
      </c>
      <c r="H58" s="27">
        <f>COUNTIFS(Ambulatorio!$M$73:$M$483,"Terapias",Ambulatorio!$AI$73:$AI$483,4)</f>
        <v>0</v>
      </c>
      <c r="I58" s="27">
        <f>COUNTIFS(Ambulatorio!$M$73:$M$483,"Terapias",Ambulatorio!$AJ$73:$AJ$483,4)</f>
        <v>0</v>
      </c>
    </row>
    <row r="59" spans="1:9">
      <c r="A59" s="77" t="s">
        <v>116</v>
      </c>
      <c r="B59" s="27">
        <f>COUNTIFS(Ambulatorio!$M$73:$M$483,"Terapias",Ambulatorio!$AC$73:$AC$483,3)</f>
        <v>0</v>
      </c>
      <c r="C59" s="27">
        <f>COUNTIFS(Ambulatorio!$M$73:$M$483,"Terapias",Ambulatorio!$AD$73:$AD$483,3)</f>
        <v>0</v>
      </c>
      <c r="D59" s="27">
        <f>COUNTIFS(Ambulatorio!$M$73:$M$483,"Terapias",Ambulatorio!$AE$73:$AE$483,3)</f>
        <v>0</v>
      </c>
      <c r="E59" s="27">
        <f>COUNTIFS(Ambulatorio!$M$73:$M$483,"Terapias",Ambulatorio!$AF$73:$AF$483,3)</f>
        <v>0</v>
      </c>
      <c r="F59" s="27">
        <f>COUNTIFS(Ambulatorio!$M$73:$M$483,"Terapias",Ambulatorio!$AG$73:$AG$483,3)</f>
        <v>0</v>
      </c>
      <c r="G59" s="27">
        <f>COUNTIFS(Ambulatorio!$M$73:$M$483,"Terapias",Ambulatorio!$AH$73:$AH$483,3)</f>
        <v>0</v>
      </c>
      <c r="H59" s="27">
        <f>COUNTIFS(Ambulatorio!$M$73:$M$483,"Terapias",Ambulatorio!$AI$73:$AI$483,3)</f>
        <v>0</v>
      </c>
      <c r="I59" s="27">
        <f>COUNTIFS(Ambulatorio!$M$73:$M$483,"Terapias",Ambulatorio!$AJ$73:$AJ$483,3)</f>
        <v>0</v>
      </c>
    </row>
    <row r="60" spans="1:9">
      <c r="A60" s="77" t="s">
        <v>117</v>
      </c>
      <c r="B60" s="27">
        <f>COUNTIFS(Ambulatorio!$M$73:$M$483,"Terapias",Ambulatorio!$AC$73:$AC$483,2)</f>
        <v>0</v>
      </c>
      <c r="C60" s="27">
        <f>COUNTIFS(Ambulatorio!$M$73:$M$483,"Terapias",Ambulatorio!$AD$73:$AD$483,2)</f>
        <v>0</v>
      </c>
      <c r="D60" s="27">
        <f>COUNTIFS(Ambulatorio!$M$73:$M$483,"Terapias",Ambulatorio!$AE$73:$AE$483,2)</f>
        <v>0</v>
      </c>
      <c r="E60" s="27">
        <f>COUNTIFS(Ambulatorio!$M$73:$M$483,"Terapias",Ambulatorio!$AF$73:$AF$483,2)</f>
        <v>0</v>
      </c>
      <c r="F60" s="27">
        <f>COUNTIFS(Ambulatorio!$M$73:$M$483,"Terapias",Ambulatorio!$AG$73:$AG$483,2)</f>
        <v>0</v>
      </c>
      <c r="G60" s="27">
        <f>COUNTIFS(Ambulatorio!$M$73:$M$483,"Terapias",Ambulatorio!$AH$73:$AH$483,2)</f>
        <v>0</v>
      </c>
      <c r="H60" s="27">
        <f>COUNTIFS(Ambulatorio!$M$73:$M$483,"Terapias",Ambulatorio!$AI$73:$AI$483,2)</f>
        <v>0</v>
      </c>
      <c r="I60" s="27">
        <f>COUNTIFS(Ambulatorio!$M$73:$M$483,"Terapias",Ambulatorio!$AJ$73:$AJ$483,2)</f>
        <v>0</v>
      </c>
    </row>
    <row r="61" spans="1:9">
      <c r="A61" s="77" t="s">
        <v>118</v>
      </c>
      <c r="B61" s="27">
        <f>COUNTIFS(Ambulatorio!$M$73:$M$483,"Terapias",Ambulatorio!$AC$73:$AC$483,1)</f>
        <v>0</v>
      </c>
      <c r="C61" s="27">
        <f>COUNTIFS(Ambulatorio!$M$73:$M$483,"Terapias",Ambulatorio!$AD$73:$AD$483,1)</f>
        <v>0</v>
      </c>
      <c r="D61" s="27">
        <f>COUNTIFS(Ambulatorio!$M$73:$M$483,"Terapias",Ambulatorio!$AE$73:$AE$483,1)</f>
        <v>0</v>
      </c>
      <c r="E61" s="27">
        <f>COUNTIFS(Ambulatorio!$M$73:$M$483,"Terapias",Ambulatorio!$AF$73:$AF$483,1)</f>
        <v>0</v>
      </c>
      <c r="F61" s="27">
        <f>COUNTIFS(Ambulatorio!$M$73:$M$483,"Terapias",Ambulatorio!$AG$73:$AG$483,1)</f>
        <v>0</v>
      </c>
      <c r="G61" s="27">
        <f>COUNTIFS(Ambulatorio!$M$73:$M$483,"Terapias",Ambulatorio!$AH$73:$AH$483,1)</f>
        <v>0</v>
      </c>
      <c r="H61" s="27">
        <f>COUNTIFS(Ambulatorio!$M$73:$M$483,"Terapias",Ambulatorio!$AI$73:$AI$483,1)</f>
        <v>0</v>
      </c>
      <c r="I61" s="27">
        <f>COUNTIFS(Ambulatorio!$M$73:$M$483,"Terapias",Ambulatorio!$AJ$73:$AJ$483,1)</f>
        <v>0</v>
      </c>
    </row>
    <row r="62" spans="1:9">
      <c r="A62" s="25"/>
      <c r="B62" s="17">
        <f>SUM(B54:B61)</f>
        <v>0</v>
      </c>
      <c r="C62" s="17">
        <f t="shared" ref="C62:I62" si="4">SUM(C55:C61)</f>
        <v>0</v>
      </c>
      <c r="D62" s="17">
        <f t="shared" si="4"/>
        <v>0</v>
      </c>
      <c r="E62" s="17">
        <f t="shared" si="4"/>
        <v>0</v>
      </c>
      <c r="F62" s="17">
        <f t="shared" si="4"/>
        <v>0</v>
      </c>
      <c r="G62" s="17">
        <f t="shared" si="4"/>
        <v>0</v>
      </c>
      <c r="H62" s="17">
        <f t="shared" si="4"/>
        <v>0</v>
      </c>
      <c r="I62" s="17">
        <f t="shared" si="4"/>
        <v>0</v>
      </c>
    </row>
    <row r="63" spans="1:9">
      <c r="A63" s="25"/>
    </row>
    <row r="64" spans="1:9" ht="28.5" customHeight="1">
      <c r="A64" s="25"/>
      <c r="B64" s="189" t="s">
        <v>136</v>
      </c>
      <c r="C64" s="189"/>
      <c r="D64" s="189"/>
      <c r="E64" s="189"/>
      <c r="F64" s="189"/>
      <c r="G64" s="189"/>
      <c r="H64" s="189"/>
      <c r="I64" s="189"/>
    </row>
    <row r="65" spans="1:9" ht="52.8">
      <c r="A65" s="25"/>
      <c r="B65" s="90" t="s">
        <v>152</v>
      </c>
      <c r="C65" s="90" t="s">
        <v>153</v>
      </c>
      <c r="D65" s="90" t="s">
        <v>154</v>
      </c>
      <c r="E65" s="90" t="s">
        <v>155</v>
      </c>
      <c r="F65" s="90" t="s">
        <v>156</v>
      </c>
      <c r="G65" s="90" t="s">
        <v>157</v>
      </c>
      <c r="H65" s="90" t="s">
        <v>158</v>
      </c>
      <c r="I65" s="90" t="s">
        <v>159</v>
      </c>
    </row>
    <row r="66" spans="1:9">
      <c r="A66" s="5" t="s">
        <v>111</v>
      </c>
      <c r="B66" s="27">
        <f>COUNTIFS(Ambulatorio!$M$73:$M$483,"Ayudas Diagnósticas Servicios Complementarios",Ambulatorio!$AC$73:$AC$483,8)</f>
        <v>0</v>
      </c>
      <c r="C66" s="27">
        <f>COUNTIFS(Ambulatorio!$M$73:$M$483,"Ayudas Diagnósticas Servicios Complementarios",Ambulatorio!$AD$73:$AD$483,8)</f>
        <v>0</v>
      </c>
      <c r="D66" s="27">
        <f>COUNTIFS(Ambulatorio!$M$73:$M$483,"Ayudas Diagnósticas Servicios Complementarios",Ambulatorio!$AE$73:$AE$483,8)</f>
        <v>0</v>
      </c>
      <c r="E66" s="27">
        <f>COUNTIFS(Ambulatorio!$M$73:$M$483,"Ayudas Diagnósticas Servicios Complementarios",Ambulatorio!$AF$73:$AF$483,8)</f>
        <v>0</v>
      </c>
      <c r="F66" s="27">
        <f>COUNTIFS(Ambulatorio!$M$73:$M$483,"Ayudas Diagnósticas Servicios Complementarios",Ambulatorio!$AG$73:$AG$483,8)</f>
        <v>0</v>
      </c>
      <c r="G66" s="27">
        <f>COUNTIFS(Ambulatorio!$M$73:$M$483,"Ayudas Diagnósticas Servicios Complementarios",Ambulatorio!$AH$73:$AH$483,8)</f>
        <v>0</v>
      </c>
      <c r="H66" s="27">
        <f>COUNTIFS(Ambulatorio!$M$73:$M$483,"Ayudas Diagnósticas Servicios Complementarios",Ambulatorio!$AI$73:$AI$483,8)</f>
        <v>0</v>
      </c>
      <c r="I66" s="27">
        <f>COUNTIFS(Ambulatorio!$M$73:$M$483,"Ayudas Diagnósticas Servicios Complementarios",Ambulatorio!$AJ$73:$AJ$483,8)</f>
        <v>0</v>
      </c>
    </row>
    <row r="67" spans="1:9">
      <c r="A67" s="5" t="s">
        <v>112</v>
      </c>
      <c r="B67" s="27">
        <f>COUNTIFS(Ambulatorio!$M$73:$M$483,"Ayudas Diagnósticas Servicios Complementarios",Ambulatorio!$AC$73:$AC$483,7)</f>
        <v>0</v>
      </c>
      <c r="C67" s="27">
        <f>COUNTIFS(Ambulatorio!$M$73:$M$483,"Ayudas Diagnósticas Servicios Complementarios",Ambulatorio!$AD$73:$AD$483,7)</f>
        <v>0</v>
      </c>
      <c r="D67" s="27">
        <f>COUNTIFS(Ambulatorio!$M$73:$M$483,"Ayudas Diagnósticas Servicios Complementarios",Ambulatorio!$AE$73:$AE$483,7)</f>
        <v>0</v>
      </c>
      <c r="E67" s="27">
        <f>COUNTIFS(Ambulatorio!$M$73:$M$483,"Ayudas Diagnósticas Servicios Complementarios",Ambulatorio!$AF$73:$AF$483,7)</f>
        <v>0</v>
      </c>
      <c r="F67" s="27">
        <f>COUNTIFS(Ambulatorio!$M$73:$M$483,"Ayudas Diagnósticas Servicios Complementarios",Ambulatorio!$AG$73:$AG$483,7)</f>
        <v>0</v>
      </c>
      <c r="G67" s="27">
        <f>COUNTIFS(Ambulatorio!$M$73:$M$483,"Ayudas Diagnósticas Servicios Complementarios",Ambulatorio!$AH$73:$AH$483,7)</f>
        <v>0</v>
      </c>
      <c r="H67" s="27">
        <f>COUNTIFS(Ambulatorio!$M$73:$M$483,"Ayudas Diagnósticas Servicios Complementarios",Ambulatorio!$AI$73:$AI$483,7)</f>
        <v>0</v>
      </c>
      <c r="I67" s="27">
        <f>COUNTIFS(Ambulatorio!$M$73:$M$483,"Ayudas Diagnósticas Servicios Complementarios",Ambulatorio!$AJ$73:$AJ$483,7)</f>
        <v>0</v>
      </c>
    </row>
    <row r="68" spans="1:9">
      <c r="A68" s="77" t="s">
        <v>113</v>
      </c>
      <c r="B68" s="27">
        <f>COUNTIFS(Ambulatorio!$M$73:$M$483,"Ayudas Diagnósticas Servicios Complementarios",Ambulatorio!$AC$73:$AC$483,6)</f>
        <v>0</v>
      </c>
      <c r="C68" s="27">
        <f>COUNTIFS(Ambulatorio!$M$73:$M$483,"Ayudas Diagnósticas Servicios Complementarios",Ambulatorio!$AD$73:$AD$483,6)</f>
        <v>0</v>
      </c>
      <c r="D68" s="27">
        <f>COUNTIFS(Ambulatorio!$M$73:$M$483,"Ayudas Diagnósticas Servicios Complementarios",Ambulatorio!$AE$73:$AE$483,6)</f>
        <v>0</v>
      </c>
      <c r="E68" s="27">
        <f>COUNTIFS(Ambulatorio!$M$73:$M$483,"Ayudas Diagnósticas Servicios Complementarios",Ambulatorio!$AE$73:$AE$483,6)</f>
        <v>0</v>
      </c>
      <c r="F68" s="27">
        <f>COUNTIFS(Ambulatorio!$M$73:$M$483,"Ayudas Diagnósticas Servicios Complementarios",Ambulatorio!$AG$73:$AG$483,6)</f>
        <v>0</v>
      </c>
      <c r="G68" s="27">
        <f>COUNTIFS(Ambulatorio!$M$73:$M$483,"Ayudas Diagnósticas Servicios Complementarios",Ambulatorio!$AH$73:$AH$483,6)</f>
        <v>0</v>
      </c>
      <c r="H68" s="27">
        <f>COUNTIFS(Ambulatorio!$M$73:$M$483,"Ayudas Diagnósticas Servicios Complementarios",Ambulatorio!$AI$73:$AI$483,6)</f>
        <v>0</v>
      </c>
      <c r="I68" s="27">
        <f>COUNTIFS(Ambulatorio!$M$73:$M$483,"Ayudas Diagnósticas Servicios Complementarios",Ambulatorio!$AJ$73:$AJ$483,6)</f>
        <v>0</v>
      </c>
    </row>
    <row r="69" spans="1:9">
      <c r="A69" s="77" t="s">
        <v>114</v>
      </c>
      <c r="B69" s="27">
        <f>COUNTIFS(Ambulatorio!$M$73:$M$483,"Ayudas Diagnósticas Servicios Complementarios",Ambulatorio!$AC$73:$AC$483,5)</f>
        <v>30</v>
      </c>
      <c r="C69" s="27">
        <f>COUNTIFS(Ambulatorio!$M$73:$M$483,"Ayudas Diagnósticas Servicios Complementarios",Ambulatorio!$AD$73:$AD$483,5)</f>
        <v>30</v>
      </c>
      <c r="D69" s="27">
        <f>COUNTIFS(Ambulatorio!$M$73:$M$483,"Ayudas Diagnósticas Servicios Complementarios",Ambulatorio!$AE$73:$AE$483,5)</f>
        <v>30</v>
      </c>
      <c r="E69" s="27">
        <f>COUNTIFS(Ambulatorio!$M$73:$M$483,"Ayudas Diagnósticas Servicios Complementarios",Ambulatorio!$AF$73:$AF$483,5)</f>
        <v>30</v>
      </c>
      <c r="F69" s="27">
        <f>COUNTIFS(Ambulatorio!$M$73:$M$483,"Ayudas Diagnósticas Servicios Complementarios",Ambulatorio!$AG$73:$AG$483,5)</f>
        <v>30</v>
      </c>
      <c r="G69" s="27">
        <f>COUNTIFS(Ambulatorio!$M$73:$M$483,"Ayudas Diagnósticas Servicios Complementarios",Ambulatorio!$AH$73:$AH$483,5)</f>
        <v>30</v>
      </c>
      <c r="H69" s="27">
        <f>COUNTIFS(Ambulatorio!$M$73:$M$483,"Ayudas Diagnósticas Servicios Complementarios",Ambulatorio!$AI$73:$AI$483,5)</f>
        <v>30</v>
      </c>
      <c r="I69" s="27">
        <f>COUNTIFS(Ambulatorio!$M$73:$M$483,"Ayudas Diagnósticas Servicios Complementarios",Ambulatorio!$AJ$73:$AJ$483,5)</f>
        <v>30</v>
      </c>
    </row>
    <row r="70" spans="1:9">
      <c r="A70" s="77" t="s">
        <v>115</v>
      </c>
      <c r="B70" s="27">
        <f>COUNTIFS(Ambulatorio!$M$73:$M$483,"Ayudas Diagnósticas Servicios Complementarios",Ambulatorio!$AC$73:$AC$483,4)</f>
        <v>0</v>
      </c>
      <c r="C70" s="27">
        <f>COUNTIFS(Ambulatorio!$M$73:$M$483,"Ayudas Diagnósticas Servicios Complementarios",Ambulatorio!$AD$73:$AD$483,4)</f>
        <v>0</v>
      </c>
      <c r="D70" s="27">
        <f>COUNTIFS(Ambulatorio!$M$73:$M$483,"Ayudas Diagnósticas Servicios Complementarios",Ambulatorio!$AE$73:$AE$483,4)</f>
        <v>0</v>
      </c>
      <c r="E70" s="27">
        <f>COUNTIFS(Ambulatorio!$M$73:$M$483,"Ayudas Diagnósticas Servicios Complementarios",Ambulatorio!$AF$73:$AF$483,4)</f>
        <v>0</v>
      </c>
      <c r="F70" s="27">
        <f>COUNTIFS(Ambulatorio!$M$73:$M$483,"Ayudas Diagnósticas Servicios Complementarios",Ambulatorio!$AG$73:$AG$483,4)</f>
        <v>0</v>
      </c>
      <c r="G70" s="27">
        <f>COUNTIFS(Ambulatorio!$M$73:$M$483,"Ayudas Diagnósticas Servicios Complementarios",Ambulatorio!$AH$73:$AH$483,4)</f>
        <v>0</v>
      </c>
      <c r="H70" s="27">
        <f>COUNTIFS(Ambulatorio!$M$73:$M$483,"Ayudas Diagnósticas Servicios Complementarios",Ambulatorio!$AI$73:$AI$483,4)</f>
        <v>0</v>
      </c>
      <c r="I70" s="27">
        <f>COUNTIFS(Ambulatorio!$M$73:$M$483,"Ayudas Diagnósticas Servicios Complementarios",Ambulatorio!$AJ$73:$AJ$483,4)</f>
        <v>0</v>
      </c>
    </row>
    <row r="71" spans="1:9">
      <c r="A71" s="77" t="s">
        <v>116</v>
      </c>
      <c r="B71" s="27">
        <f>COUNTIFS(Ambulatorio!$M$73:$M$483,"Ayudas Diagnósticas Servicios Complementarios",Ambulatorio!$AC$73:$AC$483,3)</f>
        <v>0</v>
      </c>
      <c r="C71" s="27">
        <f>COUNTIFS(Ambulatorio!$M$73:$M$483,"Ayudas Diagnósticas Servicios Complementarios",Ambulatorio!$AD$73:$AD$483,3)</f>
        <v>0</v>
      </c>
      <c r="D71" s="27">
        <f>COUNTIFS(Ambulatorio!$M$73:$M$483,"Ayudas Diagnósticas Servicios Complementarios",Ambulatorio!$AE$73:$AE$483,3)</f>
        <v>0</v>
      </c>
      <c r="E71" s="27">
        <f>COUNTIFS(Ambulatorio!$M$73:$M$483,"Ayudas Diagnósticas Servicios Complementarios",Ambulatorio!$AF$73:$AF$483,3)</f>
        <v>0</v>
      </c>
      <c r="F71" s="27">
        <f>COUNTIFS(Ambulatorio!$M$73:$M$483,"Ayudas Diagnósticas Servicios Complementarios",Ambulatorio!$AG$73:$AG$483,3)</f>
        <v>0</v>
      </c>
      <c r="G71" s="27">
        <f>COUNTIFS(Ambulatorio!$M$73:$M$483,"Ayudas Diagnósticas Servicios Complementarios",Ambulatorio!$AH$73:$AH$483,3)</f>
        <v>0</v>
      </c>
      <c r="H71" s="27">
        <f>COUNTIFS(Ambulatorio!$M$73:$M$483,"Ayudas Diagnósticas Servicios Complementarios",Ambulatorio!$AI$73:$AI$483,3)</f>
        <v>0</v>
      </c>
      <c r="I71" s="27">
        <f>COUNTIFS(Ambulatorio!$M$73:$M$483,"Ayudas Diagnósticas Servicios Complementarios",Ambulatorio!$AJ$73:$AJ$483,3)</f>
        <v>0</v>
      </c>
    </row>
    <row r="72" spans="1:9">
      <c r="A72" s="77" t="s">
        <v>117</v>
      </c>
      <c r="B72" s="27">
        <f>COUNTIFS(Ambulatorio!$M$73:$M$483,"Ayudas Diagnósticas Servicios Complementarios",Ambulatorio!$AC$73:$AC$483,2)</f>
        <v>0</v>
      </c>
      <c r="C72" s="27">
        <f>COUNTIFS(Ambulatorio!$M$73:$M$483,"Ayudas Diagnósticas Servicios Complementarios",Ambulatorio!$AD$73:$AD$483,2)</f>
        <v>0</v>
      </c>
      <c r="D72" s="27">
        <f>COUNTIFS(Ambulatorio!$M$73:$M$483,"Ayudas Diagnósticas Servicios Complementarios",Ambulatorio!$AE$73:$AE$483,2)</f>
        <v>0</v>
      </c>
      <c r="E72" s="27">
        <f>COUNTIFS(Ambulatorio!$M$73:$M$483,"Ayudas Diagnósticas Servicios Complementarios",Ambulatorio!$AF$73:$AF$483,2)</f>
        <v>0</v>
      </c>
      <c r="F72" s="27">
        <f>COUNTIFS(Ambulatorio!$M$73:$M$483,"Ayudas Diagnósticas Servicios Complementarios",Ambulatorio!$AG$73:$AG$483,2)</f>
        <v>0</v>
      </c>
      <c r="G72" s="27">
        <f>COUNTIFS(Ambulatorio!$M$73:$M$483,"Ayudas Diagnósticas Servicios Complementarios",Ambulatorio!$AH$73:$AH$483,2)</f>
        <v>0</v>
      </c>
      <c r="H72" s="27">
        <f>COUNTIFS(Ambulatorio!$M$73:$M$483,"Ayudas Diagnósticas Servicios Complementarios",Ambulatorio!$AI$73:$AI$483,2)</f>
        <v>0</v>
      </c>
      <c r="I72" s="27">
        <f>COUNTIFS(Ambulatorio!$M$73:$M$483,"Ayudas Diagnósticas Servicios Complementarios",Ambulatorio!$AJ$73:$AJ$483,2)</f>
        <v>0</v>
      </c>
    </row>
    <row r="73" spans="1:9">
      <c r="A73" s="77" t="s">
        <v>118</v>
      </c>
      <c r="B73" s="27">
        <f>COUNTIFS(Ambulatorio!$M$73:$M$483,"Ayudas Diagnósticas Servicios Complementarios",Ambulatorio!$AC$73:$AC$483,1)</f>
        <v>0</v>
      </c>
      <c r="C73" s="27">
        <f>COUNTIFS(Ambulatorio!$M$73:$M$483,"Ayudas Diagnósticas Servicios Complementarios",Ambulatorio!$AD$73:$AD$483,1)</f>
        <v>0</v>
      </c>
      <c r="D73" s="27">
        <f>COUNTIFS(Ambulatorio!$M$73:$M$483,"Ayudas Diagnósticas Servicios Complementarios",Ambulatorio!$AE$73:$AE$483,1)</f>
        <v>0</v>
      </c>
      <c r="E73" s="27">
        <f>COUNTIFS(Ambulatorio!$M$73:$M$483,"Ayudas Diagnósticas Servicios Complementarios",Ambulatorio!$AF$73:$AF$483,1)</f>
        <v>0</v>
      </c>
      <c r="F73" s="27">
        <f>COUNTIFS(Ambulatorio!$M$73:$M$483,"Ayudas Diagnósticas Servicios Complementarios",Ambulatorio!$AG$73:$AG$483,1)</f>
        <v>0</v>
      </c>
      <c r="G73" s="27">
        <f>COUNTIFS(Ambulatorio!$M$73:$M$483,"Ayudas Diagnósticas Servicios Complementarios",Ambulatorio!$AH$73:$AH$483,1)</f>
        <v>0</v>
      </c>
      <c r="H73" s="27">
        <f>COUNTIFS(Ambulatorio!$M$73:$M$483,"Ayudas Diagnósticas Servicios Complementarios",Ambulatorio!$AI$73:$AI$483,1)</f>
        <v>0</v>
      </c>
      <c r="I73" s="27">
        <f>COUNTIFS(Ambulatorio!$M$73:$M$483,"Ayudas Diagnósticas Servicios Complementarios",Ambulatorio!$AJ$73:$AJ$483,1)</f>
        <v>0</v>
      </c>
    </row>
    <row r="74" spans="1:9">
      <c r="A74" s="25"/>
      <c r="B74" s="25">
        <f>SUM(B66:B73)</f>
        <v>30</v>
      </c>
      <c r="C74" s="25">
        <f t="shared" ref="C74:I74" si="5">SUM(C67:C73)</f>
        <v>30</v>
      </c>
      <c r="D74" s="25">
        <f t="shared" si="5"/>
        <v>30</v>
      </c>
      <c r="E74" s="25">
        <f t="shared" si="5"/>
        <v>30</v>
      </c>
      <c r="F74" s="25">
        <f t="shared" si="5"/>
        <v>30</v>
      </c>
      <c r="G74" s="25">
        <f t="shared" si="5"/>
        <v>30</v>
      </c>
      <c r="H74" s="25">
        <f t="shared" si="5"/>
        <v>30</v>
      </c>
      <c r="I74" s="25">
        <f t="shared" si="5"/>
        <v>30</v>
      </c>
    </row>
    <row r="75" spans="1:9">
      <c r="A75" s="25"/>
    </row>
    <row r="76" spans="1:9" ht="24" customHeight="1">
      <c r="A76" s="25"/>
      <c r="B76" s="184" t="s">
        <v>137</v>
      </c>
      <c r="C76" s="184"/>
      <c r="D76" s="184"/>
      <c r="E76" s="184"/>
      <c r="F76" s="184"/>
      <c r="G76" s="184"/>
      <c r="H76" s="184"/>
      <c r="I76" s="184"/>
    </row>
    <row r="77" spans="1:9" ht="52.8">
      <c r="A77" s="25"/>
      <c r="B77" s="76" t="s">
        <v>152</v>
      </c>
      <c r="C77" s="76" t="s">
        <v>153</v>
      </c>
      <c r="D77" s="76" t="s">
        <v>154</v>
      </c>
      <c r="E77" s="76" t="s">
        <v>155</v>
      </c>
      <c r="F77" s="76" t="s">
        <v>156</v>
      </c>
      <c r="G77" s="76" t="s">
        <v>157</v>
      </c>
      <c r="H77" s="76" t="s">
        <v>158</v>
      </c>
      <c r="I77" s="76" t="s">
        <v>159</v>
      </c>
    </row>
    <row r="78" spans="1:9" ht="17.399999999999999" customHeight="1">
      <c r="A78" s="5" t="s">
        <v>111</v>
      </c>
      <c r="B78" s="27">
        <f>COUNTIFS(Ambulatorio!$M$73:$M$483,"Urgencias",Ambulatorio!$AC$73:$AC$483,8)</f>
        <v>0</v>
      </c>
      <c r="C78" s="27">
        <f>COUNTIFS(Ambulatorio!$M$73:$M$483,"Urgencias",Ambulatorio!$AD$73:$AD$483,8)</f>
        <v>0</v>
      </c>
      <c r="D78" s="27">
        <f>COUNTIFS(Ambulatorio!$M$73:$M$483,"Urgencias",Ambulatorio!$AE$73:$AE$483,8)</f>
        <v>0</v>
      </c>
      <c r="E78" s="27">
        <f>COUNTIFS(Ambulatorio!$M$73:$M$483,"Urgencias",Ambulatorio!$AF$73:$AF$483,8)</f>
        <v>0</v>
      </c>
      <c r="F78" s="27">
        <f>COUNTIFS(Ambulatorio!$M$73:$M$483,"Urgencias",Ambulatorio!$AG$73:$AG$483,8)</f>
        <v>0</v>
      </c>
      <c r="G78" s="27">
        <f>COUNTIFS(Ambulatorio!$M$73:$M$483,"Urgencias",Ambulatorio!$AH$73:$AH$483,8)</f>
        <v>0</v>
      </c>
      <c r="H78" s="27">
        <f>COUNTIFS(Ambulatorio!$M$73:$M$483,"Urgencias",Ambulatorio!$AI$73:$AI$483,8)</f>
        <v>0</v>
      </c>
      <c r="I78" s="27">
        <f>COUNTIFS(Ambulatorio!$M$73:$M$483,"Urgencias",Ambulatorio!$AJ$73:$AJ$483,8)</f>
        <v>0</v>
      </c>
    </row>
    <row r="79" spans="1:9" ht="15" customHeight="1">
      <c r="A79" s="5" t="s">
        <v>112</v>
      </c>
      <c r="B79" s="27">
        <f>COUNTIFS(Ambulatorio!$M$73:$M$483,"Urgencias",Ambulatorio!$AC$73:$AC$483,7)</f>
        <v>0</v>
      </c>
      <c r="C79" s="27">
        <f>COUNTIFS(Ambulatorio!$M$73:$M$483,"Urgencias",Ambulatorio!$AD$73:$AD$483,7)</f>
        <v>0</v>
      </c>
      <c r="D79" s="27">
        <f>COUNTIFS(Ambulatorio!$M$73:$M$483,"Urgencias",Ambulatorio!$AE$73:$AE$483,7)</f>
        <v>0</v>
      </c>
      <c r="E79" s="27">
        <f>COUNTIFS(Ambulatorio!$M$73:$M$483,"Urgencias",Ambulatorio!$AF$73:$AF$483,7)</f>
        <v>0</v>
      </c>
      <c r="F79" s="27">
        <f>COUNTIFS(Ambulatorio!$M$73:$M$483,"Urgencias",Ambulatorio!$AG$73:$AG$483,7)</f>
        <v>0</v>
      </c>
      <c r="G79" s="27">
        <f>COUNTIFS(Ambulatorio!$M$73:$M$483,"Urgencias",Ambulatorio!$AH$73:$AH$483,7)</f>
        <v>0</v>
      </c>
      <c r="H79" s="27">
        <f>COUNTIFS(Ambulatorio!$M$73:$M$483,"Urgencias",Ambulatorio!$AI$73:$AI$483,7)</f>
        <v>0</v>
      </c>
      <c r="I79" s="27">
        <f>COUNTIFS(Ambulatorio!$M$73:$M$483,"Urgencias",Ambulatorio!$AJ$73:$AJ$483,7)</f>
        <v>0</v>
      </c>
    </row>
    <row r="80" spans="1:9">
      <c r="A80" s="77" t="s">
        <v>113</v>
      </c>
      <c r="B80" s="27">
        <f>COUNTIFS(Ambulatorio!$M$73:$M$483,"Urgencias",Ambulatorio!$AC$73:$AC$483,6)</f>
        <v>0</v>
      </c>
      <c r="C80" s="27">
        <f>COUNTIFS(Ambulatorio!$M$73:$M$483,"Urgencias",Ambulatorio!$AD$73:$AD$483,6)</f>
        <v>0</v>
      </c>
      <c r="D80" s="27">
        <f>COUNTIFS(Ambulatorio!$M$73:$M$483,"Urgencias",Ambulatorio!$AE$73:$AE$483,6)</f>
        <v>0</v>
      </c>
      <c r="E80" s="27">
        <f>COUNTIFS(Ambulatorio!$M$73:$M$483,"Urgencias",Ambulatorio!$AE$73:$AE$483,6)</f>
        <v>0</v>
      </c>
      <c r="F80" s="27">
        <f>COUNTIFS(Ambulatorio!$M$73:$M$483,"Urgencias",Ambulatorio!$AG$73:$AG$483,6)</f>
        <v>0</v>
      </c>
      <c r="G80" s="27">
        <f>COUNTIFS(Ambulatorio!$M$73:$M$483,"Urgencias",Ambulatorio!$AH$73:$AH$483,6)</f>
        <v>0</v>
      </c>
      <c r="H80" s="27">
        <f>COUNTIFS(Ambulatorio!$M$73:$M$483,"Urgencias",Ambulatorio!$AI$73:$AI$483,6)</f>
        <v>2</v>
      </c>
      <c r="I80" s="27">
        <f>COUNTIFS(Ambulatorio!$M$73:$M$483,"Urgencias",Ambulatorio!$AJ$73:$AJ$483,6)</f>
        <v>0</v>
      </c>
    </row>
    <row r="81" spans="1:9">
      <c r="A81" s="77" t="s">
        <v>114</v>
      </c>
      <c r="B81" s="27">
        <f>COUNTIFS(Ambulatorio!$M$73:$M$483,"Urgencias",Ambulatorio!$AC$73:$AC$483,5)</f>
        <v>95</v>
      </c>
      <c r="C81" s="27">
        <f>COUNTIFS(Ambulatorio!$M$73:$M$483,"Urgencias",Ambulatorio!$AD$73:$AD$483,5)</f>
        <v>95</v>
      </c>
      <c r="D81" s="27">
        <f>COUNTIFS(Ambulatorio!$M$73:$M$483,"Urgencias",Ambulatorio!$AE$73:$AE$483,5)</f>
        <v>95</v>
      </c>
      <c r="E81" s="27">
        <f>COUNTIFS(Ambulatorio!$M$73:$M$483,"Urgencias",Ambulatorio!$AF$73:$AF$483,5)</f>
        <v>95</v>
      </c>
      <c r="F81" s="27">
        <f>COUNTIFS(Ambulatorio!$M$73:$M$483,"Urgencias",Ambulatorio!$AG$73:$AG$483,5)</f>
        <v>95</v>
      </c>
      <c r="G81" s="27">
        <f>COUNTIFS(Ambulatorio!$M$73:$M$483,"Urgencias",Ambulatorio!$AH$73:$AH$483,5)</f>
        <v>95</v>
      </c>
      <c r="H81" s="27">
        <f>COUNTIFS(Ambulatorio!$M$73:$M$483,"Urgencias",Ambulatorio!$AI$73:$AI$483,5)</f>
        <v>95</v>
      </c>
      <c r="I81" s="27">
        <f>COUNTIFS(Ambulatorio!$M$73:$M$483,"Urgencias",Ambulatorio!$AJ$73:$AJ$483,5)</f>
        <v>95</v>
      </c>
    </row>
    <row r="82" spans="1:9">
      <c r="A82" s="77" t="s">
        <v>115</v>
      </c>
      <c r="B82" s="27">
        <f>COUNTIFS(Ambulatorio!$M$73:$M$483,"Urgencias",Ambulatorio!$AC$73:$AC$483,4)</f>
        <v>3</v>
      </c>
      <c r="C82" s="27">
        <f>COUNTIFS(Ambulatorio!$M$73:$M$483,"Urgencias",Ambulatorio!$AD$73:$AD$483,4)</f>
        <v>3</v>
      </c>
      <c r="D82" s="27">
        <f>COUNTIFS(Ambulatorio!$M$73:$M$483,"Urgencias",Ambulatorio!$AE$73:$AE$483,4)</f>
        <v>3</v>
      </c>
      <c r="E82" s="27">
        <f>COUNTIFS(Ambulatorio!$M$73:$M$483,"Urgencias",Ambulatorio!$AF$73:$AF$483,4)</f>
        <v>3</v>
      </c>
      <c r="F82" s="27">
        <f>COUNTIFS(Ambulatorio!$M$73:$M$483,"Urgencias",Ambulatorio!$AG$73:$AG$483,4)</f>
        <v>3</v>
      </c>
      <c r="G82" s="27">
        <f>COUNTIFS(Ambulatorio!$M$73:$M$483,"Urgencias",Ambulatorio!$AH$73:$AH$483,4)</f>
        <v>3</v>
      </c>
      <c r="H82" s="27">
        <f>COUNTIFS(Ambulatorio!$M$73:$M$483,"Urgencias",Ambulatorio!$AI$73:$AI$483,4)</f>
        <v>1</v>
      </c>
      <c r="I82" s="27">
        <f>COUNTIFS(Ambulatorio!$M$73:$M$483,"Urgencias",Ambulatorio!$AJ$73:$AJ$483,4)</f>
        <v>3</v>
      </c>
    </row>
    <row r="83" spans="1:9">
      <c r="A83" s="77" t="s">
        <v>116</v>
      </c>
      <c r="B83" s="27">
        <f>COUNTIFS(Ambulatorio!$M$73:$M$483,"Urgencias",Ambulatorio!$AC$73:$AC$483,3)</f>
        <v>0</v>
      </c>
      <c r="C83" s="27">
        <f>COUNTIFS(Ambulatorio!$M$73:$M$483,"Urgencias",Ambulatorio!$AD$73:$AD$483,3)</f>
        <v>0</v>
      </c>
      <c r="D83" s="27">
        <f>COUNTIFS(Ambulatorio!$M$73:$M$483,"Urgencias",Ambulatorio!$AE$73:$AE$483,3)</f>
        <v>0</v>
      </c>
      <c r="E83" s="27">
        <f>COUNTIFS(Ambulatorio!$M$73:$M$483,"Urgencias",Ambulatorio!$AF$73:$AF$483,3)</f>
        <v>0</v>
      </c>
      <c r="F83" s="27">
        <f>COUNTIFS(Ambulatorio!$M$73:$M$483,"Urgencias",Ambulatorio!$AG$73:$AG$483,3)</f>
        <v>0</v>
      </c>
      <c r="G83" s="27">
        <f>COUNTIFS(Ambulatorio!$M$73:$M$483,"Urgencias",Ambulatorio!$AH$73:$AH$483,3)</f>
        <v>0</v>
      </c>
      <c r="H83" s="27">
        <f>COUNTIFS(Ambulatorio!$M$73:$M$483,"Urgencias",Ambulatorio!$AI$73:$AI$483,3)</f>
        <v>0</v>
      </c>
      <c r="I83" s="27">
        <f>COUNTIFS(Ambulatorio!$M$73:$M$483,"Urgencias",Ambulatorio!$AJ$73:$AJ$483,3)</f>
        <v>0</v>
      </c>
    </row>
    <row r="84" spans="1:9">
      <c r="A84" s="77" t="s">
        <v>117</v>
      </c>
      <c r="B84" s="27">
        <f>COUNTIFS(Ambulatorio!$M$73:$M$483,"Urgencias",Ambulatorio!$AC$73:$AC$483,2)</f>
        <v>0</v>
      </c>
      <c r="C84" s="27">
        <f>COUNTIFS(Ambulatorio!$M$73:$M$483,"Urgencias",Ambulatorio!$AD$73:$AD$483,2)</f>
        <v>0</v>
      </c>
      <c r="D84" s="27">
        <f>COUNTIFS(Ambulatorio!$M$73:$M$483,"Urgencias",Ambulatorio!$AE$73:$AE$483,2)</f>
        <v>0</v>
      </c>
      <c r="E84" s="27">
        <f>COUNTIFS(Ambulatorio!$M$73:$M$483,"Urgencias",Ambulatorio!$AF$73:$AF$483,2)</f>
        <v>0</v>
      </c>
      <c r="F84" s="27">
        <f>COUNTIFS(Ambulatorio!$M$73:$M$483,"Urgencias",Ambulatorio!$AG$73:$AG$483,2)</f>
        <v>0</v>
      </c>
      <c r="G84" s="27">
        <f>COUNTIFS(Ambulatorio!$M$73:$M$483,"Urgencias",Ambulatorio!$AH$73:$AH$483,2)</f>
        <v>0</v>
      </c>
      <c r="H84" s="27">
        <f>COUNTIFS(Ambulatorio!$M$73:$M$483,"Urgencias",Ambulatorio!$AI$73:$AI$483,2)</f>
        <v>0</v>
      </c>
      <c r="I84" s="27">
        <f>COUNTIFS(Ambulatorio!$M$73:$M$483,"Urgencias",Ambulatorio!$AJ$73:$AJ$483,2)</f>
        <v>0</v>
      </c>
    </row>
    <row r="85" spans="1:9">
      <c r="A85" s="77" t="s">
        <v>118</v>
      </c>
      <c r="B85" s="27">
        <f>COUNTIFS(Ambulatorio!$M$73:$M$483,"Urgencias",Ambulatorio!$AC$73:$AC$483,1)</f>
        <v>0</v>
      </c>
      <c r="C85" s="27">
        <f>COUNTIFS(Ambulatorio!$M$73:$M$483,"Urgencias",Ambulatorio!$AD$73:$AD$483,1)</f>
        <v>0</v>
      </c>
      <c r="D85" s="27">
        <f>COUNTIFS(Ambulatorio!$M$73:$M$483,"Urgencias",Ambulatorio!$AE$73:$AE$483,1)</f>
        <v>0</v>
      </c>
      <c r="E85" s="27">
        <f>COUNTIFS(Ambulatorio!$M$73:$M$483,"Urgencias",Ambulatorio!$AF$73:$AF$483,1)</f>
        <v>0</v>
      </c>
      <c r="F85" s="27">
        <f>COUNTIFS(Ambulatorio!$M$73:$M$483,"Urgencias",Ambulatorio!$AG$73:$AG$483,1)</f>
        <v>0</v>
      </c>
      <c r="G85" s="27">
        <f>COUNTIFS(Ambulatorio!$M$73:$M$483,"Urgencias",Ambulatorio!$AH$73:$AH$483,1)</f>
        <v>0</v>
      </c>
      <c r="H85" s="27">
        <f>COUNTIFS(Ambulatorio!$M$73:$M$483,"Urgencias",Ambulatorio!$AI$73:$AI$483,1)</f>
        <v>0</v>
      </c>
      <c r="I85" s="27">
        <f>COUNTIFS(Ambulatorio!$M$73:$M$483,"Urgencias",Ambulatorio!$AJ$73:$AJ$483,1)</f>
        <v>0</v>
      </c>
    </row>
    <row r="86" spans="1:9">
      <c r="A86" s="25"/>
      <c r="B86" s="25">
        <f>SUM(B78:B85)</f>
        <v>98</v>
      </c>
      <c r="C86" s="25">
        <f t="shared" ref="C86:I86" si="6">SUM(C79:C85)</f>
        <v>98</v>
      </c>
      <c r="D86" s="25">
        <f t="shared" si="6"/>
        <v>98</v>
      </c>
      <c r="E86" s="25">
        <f t="shared" si="6"/>
        <v>98</v>
      </c>
      <c r="F86" s="25">
        <f t="shared" si="6"/>
        <v>98</v>
      </c>
      <c r="G86" s="25">
        <f t="shared" si="6"/>
        <v>98</v>
      </c>
      <c r="H86" s="25">
        <f t="shared" si="6"/>
        <v>98</v>
      </c>
      <c r="I86" s="25">
        <f t="shared" si="6"/>
        <v>98</v>
      </c>
    </row>
    <row r="87" spans="1:9">
      <c r="A87" s="25"/>
    </row>
    <row r="88" spans="1:9">
      <c r="A88" s="25"/>
      <c r="B88">
        <f>+B86+B74+B62+B50+B38+B25</f>
        <v>169</v>
      </c>
    </row>
    <row r="89" spans="1:9">
      <c r="A89" s="25"/>
      <c r="B89" s="25"/>
    </row>
    <row r="90" spans="1:9">
      <c r="A90" s="25"/>
    </row>
    <row r="91" spans="1:9" ht="35.4" customHeight="1">
      <c r="A91" s="25"/>
      <c r="B91" s="185" t="s">
        <v>138</v>
      </c>
      <c r="C91" s="185"/>
      <c r="D91" s="185"/>
      <c r="E91" s="185"/>
      <c r="F91" s="185"/>
      <c r="G91" s="185"/>
      <c r="H91" s="185"/>
      <c r="I91" s="185"/>
    </row>
    <row r="92" spans="1:9" ht="52.8">
      <c r="A92" s="25"/>
      <c r="B92" s="76" t="s">
        <v>152</v>
      </c>
      <c r="C92" s="76" t="s">
        <v>153</v>
      </c>
      <c r="D92" s="76" t="s">
        <v>154</v>
      </c>
      <c r="E92" s="76" t="s">
        <v>155</v>
      </c>
      <c r="F92" s="76" t="s">
        <v>156</v>
      </c>
      <c r="G92" s="76" t="s">
        <v>157</v>
      </c>
      <c r="H92" s="76" t="s">
        <v>158</v>
      </c>
      <c r="I92" s="76" t="s">
        <v>159</v>
      </c>
    </row>
    <row r="93" spans="1:9" ht="17.399999999999999" customHeight="1">
      <c r="A93" s="5" t="s">
        <v>131</v>
      </c>
      <c r="B93" s="46" t="e">
        <f>(B20+B21)/B25</f>
        <v>#DIV/0!</v>
      </c>
      <c r="C93" s="46" t="e">
        <f t="shared" ref="C93:I93" si="7">(C20+C21)/C25</f>
        <v>#DIV/0!</v>
      </c>
      <c r="D93" s="46" t="e">
        <f t="shared" si="7"/>
        <v>#DIV/0!</v>
      </c>
      <c r="E93" s="46" t="e">
        <f t="shared" si="7"/>
        <v>#DIV/0!</v>
      </c>
      <c r="F93" s="46" t="e">
        <f t="shared" si="7"/>
        <v>#DIV/0!</v>
      </c>
      <c r="G93" s="46" t="e">
        <f t="shared" si="7"/>
        <v>#DIV/0!</v>
      </c>
      <c r="H93" s="46" t="e">
        <f t="shared" si="7"/>
        <v>#DIV/0!</v>
      </c>
      <c r="I93" s="46" t="e">
        <f t="shared" si="7"/>
        <v>#DIV/0!</v>
      </c>
    </row>
    <row r="94" spans="1:9" ht="15" customHeight="1">
      <c r="A94" s="5" t="s">
        <v>139</v>
      </c>
      <c r="B94" s="46">
        <f>(B33+B34)/B38</f>
        <v>1</v>
      </c>
      <c r="C94" s="46">
        <f t="shared" ref="C94:I94" si="8">(C33+C34)/C38</f>
        <v>1</v>
      </c>
      <c r="D94" s="46">
        <f t="shared" si="8"/>
        <v>1</v>
      </c>
      <c r="E94" s="46">
        <f t="shared" si="8"/>
        <v>1</v>
      </c>
      <c r="F94" s="46">
        <f t="shared" si="8"/>
        <v>1</v>
      </c>
      <c r="G94" s="46">
        <f t="shared" si="8"/>
        <v>1</v>
      </c>
      <c r="H94" s="46">
        <f t="shared" si="8"/>
        <v>1</v>
      </c>
      <c r="I94" s="46">
        <f t="shared" si="8"/>
        <v>1</v>
      </c>
    </row>
    <row r="95" spans="1:9">
      <c r="A95" s="77" t="s">
        <v>140</v>
      </c>
      <c r="B95" s="46">
        <f>(B45+B46)/B50</f>
        <v>1</v>
      </c>
      <c r="C95" s="46">
        <f t="shared" ref="C95:I95" si="9">(C45+C46)/C50</f>
        <v>1</v>
      </c>
      <c r="D95" s="46">
        <f t="shared" si="9"/>
        <v>1</v>
      </c>
      <c r="E95" s="46">
        <f t="shared" si="9"/>
        <v>1</v>
      </c>
      <c r="F95" s="46">
        <f t="shared" si="9"/>
        <v>1</v>
      </c>
      <c r="G95" s="46">
        <f t="shared" si="9"/>
        <v>1</v>
      </c>
      <c r="H95" s="46">
        <f t="shared" si="9"/>
        <v>1</v>
      </c>
      <c r="I95" s="46">
        <f t="shared" si="9"/>
        <v>1</v>
      </c>
    </row>
    <row r="96" spans="1:9">
      <c r="A96" s="77" t="s">
        <v>129</v>
      </c>
      <c r="B96" s="46" t="e">
        <f>(B56+B57)/B62</f>
        <v>#DIV/0!</v>
      </c>
      <c r="C96" s="46" t="e">
        <f t="shared" ref="C96:I96" si="10">(C56+C57)/C62</f>
        <v>#DIV/0!</v>
      </c>
      <c r="D96" s="46" t="e">
        <f t="shared" si="10"/>
        <v>#DIV/0!</v>
      </c>
      <c r="E96" s="46" t="e">
        <f t="shared" si="10"/>
        <v>#DIV/0!</v>
      </c>
      <c r="F96" s="46" t="e">
        <f t="shared" si="10"/>
        <v>#DIV/0!</v>
      </c>
      <c r="G96" s="46" t="e">
        <f t="shared" si="10"/>
        <v>#DIV/0!</v>
      </c>
      <c r="H96" s="46" t="e">
        <f t="shared" si="10"/>
        <v>#DIV/0!</v>
      </c>
      <c r="I96" s="46" t="e">
        <f t="shared" si="10"/>
        <v>#DIV/0!</v>
      </c>
    </row>
    <row r="97" spans="1:9">
      <c r="A97" s="77" t="s">
        <v>136</v>
      </c>
      <c r="B97" s="46">
        <f>(B69+B70)/B74</f>
        <v>1</v>
      </c>
      <c r="C97" s="46">
        <f t="shared" ref="C97:I97" si="11">(C69+C70)/C74</f>
        <v>1</v>
      </c>
      <c r="D97" s="46">
        <f t="shared" si="11"/>
        <v>1</v>
      </c>
      <c r="E97" s="46">
        <f t="shared" si="11"/>
        <v>1</v>
      </c>
      <c r="F97" s="46">
        <f t="shared" si="11"/>
        <v>1</v>
      </c>
      <c r="G97" s="46">
        <f t="shared" si="11"/>
        <v>1</v>
      </c>
      <c r="H97" s="46">
        <f t="shared" si="11"/>
        <v>1</v>
      </c>
      <c r="I97" s="46">
        <f t="shared" si="11"/>
        <v>1</v>
      </c>
    </row>
    <row r="98" spans="1:9">
      <c r="A98" s="77" t="s">
        <v>137</v>
      </c>
      <c r="B98" s="46">
        <f>(B81+B82)/B86</f>
        <v>1</v>
      </c>
      <c r="C98" s="46">
        <f t="shared" ref="C98:I98" si="12">(C81+C82)/C86</f>
        <v>1</v>
      </c>
      <c r="D98" s="46">
        <f t="shared" si="12"/>
        <v>1</v>
      </c>
      <c r="E98" s="46">
        <f t="shared" si="12"/>
        <v>1</v>
      </c>
      <c r="F98" s="46">
        <f t="shared" si="12"/>
        <v>1</v>
      </c>
      <c r="G98" s="46">
        <f t="shared" si="12"/>
        <v>1</v>
      </c>
      <c r="H98" s="46">
        <f t="shared" si="12"/>
        <v>0.97959183673469385</v>
      </c>
      <c r="I98" s="46">
        <f t="shared" si="12"/>
        <v>1</v>
      </c>
    </row>
    <row r="99" spans="1:9">
      <c r="A99" s="25"/>
    </row>
    <row r="100" spans="1:9">
      <c r="A100" s="25"/>
    </row>
    <row r="101" spans="1:9">
      <c r="A101" s="25"/>
    </row>
    <row r="102" spans="1:9">
      <c r="A102" s="25"/>
    </row>
    <row r="103" spans="1:9">
      <c r="A103" s="25"/>
    </row>
    <row r="104" spans="1:9">
      <c r="A104" s="25"/>
    </row>
    <row r="105" spans="1:9">
      <c r="A105" s="25"/>
    </row>
    <row r="106" spans="1:9">
      <c r="A106" s="25"/>
    </row>
    <row r="107" spans="1:9">
      <c r="A107" s="25"/>
    </row>
    <row r="108" spans="1:9">
      <c r="A108" s="25"/>
    </row>
    <row r="109" spans="1:9">
      <c r="A109" s="25"/>
    </row>
    <row r="110" spans="1:9">
      <c r="A110" s="25"/>
    </row>
    <row r="111" spans="1:9">
      <c r="A111" s="25"/>
    </row>
    <row r="112" spans="1:9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</sheetData>
  <mergeCells count="8">
    <mergeCell ref="B64:I64"/>
    <mergeCell ref="B76:I76"/>
    <mergeCell ref="B91:I91"/>
    <mergeCell ref="B3:I3"/>
    <mergeCell ref="B15:I15"/>
    <mergeCell ref="B28:I28"/>
    <mergeCell ref="B40:I40"/>
    <mergeCell ref="B52:I5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I101"/>
  <sheetViews>
    <sheetView workbookViewId="0">
      <selection activeCell="J106" sqref="J106"/>
    </sheetView>
  </sheetViews>
  <sheetFormatPr baseColWidth="10" defaultColWidth="11" defaultRowHeight="14.4"/>
  <cols>
    <col min="1" max="1" width="23" customWidth="1"/>
    <col min="2" max="2" width="13.66406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160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39.75" customHeight="1">
      <c r="A5" s="25"/>
      <c r="B5" s="84" t="s">
        <v>161</v>
      </c>
      <c r="C5" s="82" t="s">
        <v>162</v>
      </c>
      <c r="D5" s="84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27">
        <f>COUNTIF(Hospitalización!$Z$3:$Z$500,"8")</f>
        <v>0</v>
      </c>
      <c r="C6" s="27">
        <f>COUNTIF(Hospitalización!$AA$3:$AA$500,"8")</f>
        <v>0</v>
      </c>
      <c r="D6" s="27">
        <f>COUNTIF(Hospitalización!$AB$3:$AB$500,"8")</f>
        <v>0</v>
      </c>
      <c r="E6" s="27">
        <f>COUNTIF(Hospitalización!$AC$3:$AC$500,"8")</f>
        <v>0</v>
      </c>
      <c r="F6" s="27">
        <f>COUNTIF(Hospitalización!$AD$3:$AD$500,"8")</f>
        <v>0</v>
      </c>
      <c r="G6" s="27">
        <f>COUNTIF(Hospitalización!$AE$3:$AE$500,"8")</f>
        <v>0</v>
      </c>
      <c r="H6" s="25"/>
      <c r="I6" s="25"/>
    </row>
    <row r="7" spans="1:9">
      <c r="A7" s="5" t="s">
        <v>112</v>
      </c>
      <c r="B7" s="27">
        <f>COUNTIF(Hospitalización!$Z$3:$Z$500,"7")</f>
        <v>0</v>
      </c>
      <c r="C7" s="27">
        <f>COUNTIF(Hospitalización!$AA$3:$AA$500,"7")</f>
        <v>0</v>
      </c>
      <c r="D7" s="27">
        <f>COUNTIF(Hospitalización!$AB$3:$AB$500,"7")</f>
        <v>0</v>
      </c>
      <c r="E7" s="27">
        <f>COUNTIF(Hospitalización!$AC$3:$AC$500,"7")</f>
        <v>0</v>
      </c>
      <c r="F7" s="27">
        <f>COUNTIF(Hospitalización!$AD$3:$AD$500,"7")</f>
        <v>0</v>
      </c>
      <c r="G7" s="27">
        <f>COUNTIF(Hospitalización!$AE$3:$AE$500,"7")</f>
        <v>0</v>
      </c>
      <c r="H7" s="25"/>
      <c r="I7" s="25"/>
    </row>
    <row r="8" spans="1:9">
      <c r="A8" s="77" t="s">
        <v>113</v>
      </c>
      <c r="B8" s="27">
        <f>COUNTIF(Hospitalización!$Z$3:$Z$500,"6")</f>
        <v>0</v>
      </c>
      <c r="C8" s="27">
        <f>COUNTIF(Hospitalización!$AA$3:$AA$500,"6")</f>
        <v>0</v>
      </c>
      <c r="D8" s="27">
        <f>COUNTIF(Hospitalización!$AB$3:$AB$500,"6")</f>
        <v>0</v>
      </c>
      <c r="E8" s="27">
        <f>COUNTIF(Hospitalización!$AC$3:$AC$500,"6")</f>
        <v>0</v>
      </c>
      <c r="F8" s="27">
        <f>COUNTIF(Hospitalización!$AD$3:$AD$500,"6")</f>
        <v>0</v>
      </c>
      <c r="G8" s="27">
        <f>COUNTIF(Hospitalización!$AE$3:$AE$500,"6")</f>
        <v>0</v>
      </c>
      <c r="H8" s="25"/>
      <c r="I8" s="25"/>
    </row>
    <row r="9" spans="1:9">
      <c r="A9" s="77" t="s">
        <v>114</v>
      </c>
      <c r="B9" s="27">
        <f>COUNTIF(Hospitalización!$Z$3:$Z$500,"5")</f>
        <v>45</v>
      </c>
      <c r="C9" s="27">
        <f>COUNTIF(Hospitalización!$AA$3:$AA$500,"5")</f>
        <v>45</v>
      </c>
      <c r="D9" s="27">
        <f>COUNTIF(Hospitalización!$AB$3:$AB$500,"5")</f>
        <v>45</v>
      </c>
      <c r="E9" s="27">
        <f>COUNTIF(Hospitalización!$AC$3:$AC$500,"5")</f>
        <v>46</v>
      </c>
      <c r="F9" s="27">
        <f>COUNTIF(Hospitalización!$AD$3:$AD$500,"5")</f>
        <v>46</v>
      </c>
      <c r="G9" s="27">
        <f>COUNTIF(Hospitalización!$AE$3:$AE$500,"5")</f>
        <v>46</v>
      </c>
      <c r="H9" s="25"/>
      <c r="I9" s="25"/>
    </row>
    <row r="10" spans="1:9">
      <c r="A10" s="77" t="s">
        <v>115</v>
      </c>
      <c r="B10" s="27">
        <f>COUNTIF(Hospitalización!$Z$3:$Z$500,"4")</f>
        <v>3</v>
      </c>
      <c r="C10" s="27">
        <f>COUNTIF(Hospitalización!$AA$3:$AA$500,"4")</f>
        <v>4</v>
      </c>
      <c r="D10" s="27">
        <f>COUNTIF(Hospitalización!$AB$3:$AB$500,"4")</f>
        <v>3</v>
      </c>
      <c r="E10" s="27">
        <f>COUNTIF(Hospitalización!$AC$3:$AC$500,"4")</f>
        <v>3</v>
      </c>
      <c r="F10" s="27">
        <f>COUNTIF(Hospitalización!$AD$3:$AD$500,"4")</f>
        <v>3</v>
      </c>
      <c r="G10" s="27">
        <f>COUNTIF(Hospitalización!$AE$3:$AE$500,"4")</f>
        <v>3</v>
      </c>
      <c r="H10" s="25"/>
      <c r="I10" s="25"/>
    </row>
    <row r="11" spans="1:9">
      <c r="A11" s="77" t="s">
        <v>116</v>
      </c>
      <c r="B11" s="27">
        <f>COUNTIF(Hospitalización!$Z$3:$Z$500,"3")</f>
        <v>1</v>
      </c>
      <c r="C11" s="27">
        <f>COUNTIF(Hospitalización!$AA$3:$AA$500,"3")</f>
        <v>0</v>
      </c>
      <c r="D11" s="27">
        <f>COUNTIF(Hospitalización!$AB$3:$AB$500,"3")</f>
        <v>1</v>
      </c>
      <c r="E11" s="27">
        <f>COUNTIF(Hospitalización!$AC$3:$AC$500,"3")</f>
        <v>0</v>
      </c>
      <c r="F11" s="27">
        <f>COUNTIF(Hospitalización!$AD$3:$AD$500,"3")</f>
        <v>0</v>
      </c>
      <c r="G11" s="27">
        <f>COUNTIF(Hospitalización!$AE$3:$AE$500,"3")</f>
        <v>0</v>
      </c>
      <c r="H11" s="25"/>
      <c r="I11" s="25"/>
    </row>
    <row r="12" spans="1:9">
      <c r="A12" s="77" t="s">
        <v>117</v>
      </c>
      <c r="B12" s="27">
        <f>COUNTIF(Hospitalización!$Z$3:$Z$500,"2")</f>
        <v>0</v>
      </c>
      <c r="C12" s="27">
        <f>COUNTIF(Hospitalización!$AA$3:$AA$500,"2")</f>
        <v>0</v>
      </c>
      <c r="D12" s="27">
        <f>COUNTIF(Hospitalización!$AB$3:$AB$500,"2")</f>
        <v>0</v>
      </c>
      <c r="E12" s="27">
        <f>COUNTIF(Hospitalización!$AC$3:$AC$500,"2")</f>
        <v>0</v>
      </c>
      <c r="F12" s="27">
        <f>COUNTIF(Hospitalización!$AD$3:$AD$500,"2")</f>
        <v>0</v>
      </c>
      <c r="G12" s="27">
        <f>COUNTIF(Hospitalización!$AE$3:$AE$500,"2")</f>
        <v>0</v>
      </c>
      <c r="H12" s="25"/>
      <c r="I12" s="25"/>
    </row>
    <row r="13" spans="1:9">
      <c r="A13" s="77" t="s">
        <v>118</v>
      </c>
      <c r="B13" s="27">
        <f>COUNTIF(Hospitalización!$Z$3:$Z$500,"1")</f>
        <v>0</v>
      </c>
      <c r="C13" s="27">
        <f>COUNTIF(Hospitalización!$AA$3:$AA$500,"1")</f>
        <v>0</v>
      </c>
      <c r="D13" s="27">
        <f>COUNTIF(Hospitalización!$AB$3:$AB$500,"1")</f>
        <v>0</v>
      </c>
      <c r="E13" s="27">
        <f>COUNTIF(Hospitalización!$AC$3:$AC$500,"1")</f>
        <v>0</v>
      </c>
      <c r="F13" s="27">
        <f>COUNTIF(Hospitalización!$AD$3:$AD$500,"1")</f>
        <v>0</v>
      </c>
      <c r="G13" s="27">
        <f>COUNTIF(Hospitalización!$AE$3:$AE$500,"1")</f>
        <v>0</v>
      </c>
      <c r="H13" s="25"/>
      <c r="I13" s="25"/>
    </row>
    <row r="14" spans="1:9">
      <c r="A14" s="25"/>
      <c r="B14" s="17">
        <f t="shared" ref="B14:G14" si="0">SUM(B6:B13)</f>
        <v>49</v>
      </c>
      <c r="C14" s="17">
        <f t="shared" si="0"/>
        <v>49</v>
      </c>
      <c r="D14" s="17">
        <f t="shared" si="0"/>
        <v>49</v>
      </c>
      <c r="E14" s="17">
        <f t="shared" si="0"/>
        <v>49</v>
      </c>
      <c r="F14" s="17">
        <f t="shared" si="0"/>
        <v>49</v>
      </c>
      <c r="G14" s="17">
        <f t="shared" si="0"/>
        <v>49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General",Hospitalización!$Z$3:$Z$500,8)</f>
        <v>0</v>
      </c>
      <c r="C19" s="27">
        <f>COUNTIFS(Hospitalización!$M$3:$M$500,"Hospitalización General",Hospitalización!$AA$3:$AA$500,8)</f>
        <v>0</v>
      </c>
      <c r="D19" s="27">
        <f>COUNTIFS(Hospitalización!$M$3:$M$500,"Hospitalización General",Hospitalización!$AB$3:$AB$500,8)</f>
        <v>0</v>
      </c>
      <c r="E19" s="27">
        <f>COUNTIFS(Hospitalización!$M$3:$M$500,"Hospitalización General",Hospitalización!$AC$3:$AC$500,8)</f>
        <v>0</v>
      </c>
      <c r="F19" s="27">
        <f>COUNTIFS(Hospitalización!$M$3:$M$500,"Hospitalización General",Hospitalización!$AD$3:$AD$500,8)</f>
        <v>0</v>
      </c>
      <c r="G19" s="27">
        <f>COUNTIFS(Hospitalización!$M$3:$M$500,"Hospitalización General",Hospitalización!$AE$3:$AE$500,8)</f>
        <v>0</v>
      </c>
    </row>
    <row r="20" spans="1:7">
      <c r="A20" s="5" t="s">
        <v>112</v>
      </c>
      <c r="B20" s="27">
        <f>COUNTIFS(Hospitalización!$M$3:$M$500,"Hospitalización General",Hospitalización!$Y$3:$Y$500,7)</f>
        <v>0</v>
      </c>
      <c r="C20" s="27">
        <f>COUNTIFS(Hospitalización!$M$3:$M$500,"Hospitalización General",Hospitalización!$AA$3:$AA$500,7)</f>
        <v>0</v>
      </c>
      <c r="D20" s="27">
        <f>COUNTIFS(Hospitalización!$M$3:$M$500,"Hospitalización General",Hospitalización!$AB$3:$AB$500,7)</f>
        <v>0</v>
      </c>
      <c r="E20" s="27">
        <f>COUNTIFS(Hospitalización!$M$3:$M$500,"Hospitalización General",Hospitalización!$AC$3:$AC$500,7)</f>
        <v>0</v>
      </c>
      <c r="F20" s="27">
        <f>COUNTIFS(Hospitalización!$M$3:$M$500,"Hospitalización General",Hospitalización!$AD$3:$AD$500,7)</f>
        <v>0</v>
      </c>
      <c r="G20" s="27">
        <f>COUNTIFS(Hospitalización!$M$3:$M$500,"Hospitalización General",Hospitalización!$AE$3:$AE$500,7)</f>
        <v>0</v>
      </c>
    </row>
    <row r="21" spans="1:7">
      <c r="A21" s="77" t="s">
        <v>113</v>
      </c>
      <c r="B21" s="27">
        <f>COUNTIFS(Hospitalización!$M$3:$M$500,"Hospitalización General",Hospitalización!$Y$3:$Y$500,6)</f>
        <v>0</v>
      </c>
      <c r="C21" s="27">
        <f>COUNTIFS(Hospitalización!$M$3:$M$500,"Hospitalización General",Hospitalización!$AA$3:$AA$500,6)</f>
        <v>0</v>
      </c>
      <c r="D21" s="27">
        <f>COUNTIFS(Hospitalización!$M$3:$M$500,"Hospitalización General",Hospitalización!$AB$3:$AB$500,6)</f>
        <v>0</v>
      </c>
      <c r="E21" s="27">
        <f>COUNTIFS(Hospitalización!$M$3:$M$500,"Hospitalización General",Hospitalización!$AC$3:$AC$500,6)</f>
        <v>0</v>
      </c>
      <c r="F21" s="27">
        <f>COUNTIFS(Hospitalización!$M$3:$M$500,"Hospitalización General",Hospitalización!$AD$3:$AD$500,6)</f>
        <v>0</v>
      </c>
      <c r="G21" s="27">
        <f>COUNTIFS(Hospitalización!$M$3:$M$500,"Hospitalización General",Hospitalización!$AE$3:$AE$500,6)</f>
        <v>0</v>
      </c>
    </row>
    <row r="22" spans="1:7">
      <c r="A22" s="77" t="s">
        <v>114</v>
      </c>
      <c r="B22" s="27">
        <f>COUNTIFS(Hospitalización!$M$3:$M$500,"Hospitalización General",Hospitalización!$Y$3:$Y$500,5)</f>
        <v>7</v>
      </c>
      <c r="C22" s="27">
        <f>COUNTIFS(Hospitalización!$M$3:$M$500,"Hospitalización General",Hospitalización!$AA$3:$AA$500,5)</f>
        <v>7</v>
      </c>
      <c r="D22" s="27">
        <f>COUNTIFS(Hospitalización!$M$3:$M$500,"Hospitalización General",Hospitalización!$AB$3:$AB$500,5)</f>
        <v>7</v>
      </c>
      <c r="E22" s="27">
        <f>COUNTIFS(Hospitalización!$M$3:$M$500,"Hospitalización General",Hospitalización!$AC$3:$AC$500,5)</f>
        <v>7</v>
      </c>
      <c r="F22" s="27">
        <f>COUNTIFS(Hospitalización!$M$3:$M$500,"Hospitalización General",Hospitalización!$AD$3:$AD$500,5)</f>
        <v>7</v>
      </c>
      <c r="G22" s="27">
        <f>COUNTIFS(Hospitalización!$M$3:$M$500,"Hospitalización General",Hospitalización!$AE$3:$AE$500,5)</f>
        <v>7</v>
      </c>
    </row>
    <row r="23" spans="1:7">
      <c r="A23" s="77" t="s">
        <v>115</v>
      </c>
      <c r="B23" s="27">
        <f>COUNTIFS(Hospitalización!$M$3:$M$500,"Hospitalización General",Hospitalización!$Y$3:$Y$500,4)</f>
        <v>0</v>
      </c>
      <c r="C23" s="27">
        <f>COUNTIFS(Hospitalización!$M$3:$M$500,"Hospitalización General",Hospitalización!$AA$3:$AA$500,4)</f>
        <v>0</v>
      </c>
      <c r="D23" s="27">
        <f>COUNTIFS(Hospitalización!$M$3:$M$500,"Hospitalización General",Hospitalización!$AB$3:$AB$500,4)</f>
        <v>0</v>
      </c>
      <c r="E23" s="27">
        <f>COUNTIFS(Hospitalización!$M$3:$M$500,"Hospitalización General",Hospitalización!$AC$3:$AC$500,4)</f>
        <v>0</v>
      </c>
      <c r="F23" s="27">
        <f>COUNTIFS(Hospitalización!$M$3:$M$500,"Hospitalización General",Hospitalización!$AD$3:$AD$500,4)</f>
        <v>0</v>
      </c>
      <c r="G23" s="27">
        <f>COUNTIFS(Hospitalización!$M$3:$M$500,"Hospitalización General",Hospitalización!$AE$3:$AE$500,4)</f>
        <v>0</v>
      </c>
    </row>
    <row r="24" spans="1:7">
      <c r="A24" s="77" t="s">
        <v>116</v>
      </c>
      <c r="B24" s="27">
        <f>COUNTIFS(Hospitalización!$M$3:$M$500,"Hospitalización General",Hospitalización!$Y$3:$Y$500,3)</f>
        <v>0</v>
      </c>
      <c r="C24" s="27">
        <f>COUNTIFS(Hospitalización!$M$3:$M$500,"Hospitalización General",Hospitalización!$AA$3:$AA$500,3)</f>
        <v>0</v>
      </c>
      <c r="D24" s="27">
        <f>COUNTIFS(Hospitalización!$M$3:$M$500,"Hospitalización General",Hospitalización!$AB$3:$AB$500,3)</f>
        <v>0</v>
      </c>
      <c r="E24" s="27">
        <f>COUNTIFS(Hospitalización!$M$3:$M$500,"Hospitalización General",Hospitalización!$AC$3:$AC$500,3)</f>
        <v>0</v>
      </c>
      <c r="F24" s="27">
        <f>COUNTIFS(Hospitalización!$M$3:$M$500,"Hospitalización General",Hospitalización!$AD$3:$AD$500,3)</f>
        <v>0</v>
      </c>
      <c r="G24" s="27">
        <f>COUNTIFS(Hospitalización!$M$3:$M$500,"Hospitalización General",Hospitalización!$AE$3:$AE$500,3)</f>
        <v>0</v>
      </c>
    </row>
    <row r="25" spans="1:7">
      <c r="A25" s="77" t="s">
        <v>117</v>
      </c>
      <c r="B25" s="27">
        <f>COUNTIFS(Hospitalización!$M$3:$M$500,"Hospitalización General",Hospitalización!$Y$3:$Y$500,2)</f>
        <v>0</v>
      </c>
      <c r="C25" s="27">
        <f>COUNTIFS(Hospitalización!$M$3:$M$500,"Hospitalización General",Hospitalización!$AA$3:$AA$500,2)</f>
        <v>0</v>
      </c>
      <c r="D25" s="27">
        <f>COUNTIFS(Hospitalización!$M$3:$M$500,"Hospitalización General",Hospitalización!$AB$3:$AB$500,2)</f>
        <v>0</v>
      </c>
      <c r="E25" s="27">
        <f>COUNTIFS(Hospitalización!$M$3:$M$500,"Hospitalización General",Hospitalización!$AC$3:$AC$500,2)</f>
        <v>0</v>
      </c>
      <c r="F25" s="27">
        <f>COUNTIFS(Hospitalización!$M$3:$M$500,"Hospitalización General",Hospitalización!$AD$3:$AD$500,2)</f>
        <v>0</v>
      </c>
      <c r="G25" s="27">
        <f>COUNTIFS(Hospitalización!$M$3:$M$500,"Hospitalización General",Hospitalización!$AE$3:$AE$500,2)</f>
        <v>0</v>
      </c>
    </row>
    <row r="26" spans="1:7">
      <c r="A26" s="77" t="s">
        <v>118</v>
      </c>
      <c r="B26" s="27">
        <f>COUNTIFS(Hospitalización!$M$3:$M$500,"Hospitalización General",Hospitalización!$Y$3:$Y$500,1)</f>
        <v>0</v>
      </c>
      <c r="C26" s="27">
        <f>COUNTIFS(Hospitalización!$M$3:$M$500,"Hospitalización General",Hospitalización!$AA$3:$AA$500,1)</f>
        <v>0</v>
      </c>
      <c r="D26" s="27">
        <f>COUNTIFS(Hospitalización!$M$3:$M$500,"Hospitalización General",Hospitalización!$AB$3:$AB$500,1)</f>
        <v>0</v>
      </c>
      <c r="E26" s="27">
        <f>COUNTIFS(Hospitalización!$M$3:$M$500,"Hospitalización General",Hospitalización!$AC$3:$AC$500,1)</f>
        <v>0</v>
      </c>
      <c r="F26" s="27">
        <f>COUNTIFS(Hospitalización!$M$3:$M$500,"Hospitalización General",Hospitalización!$AD$3:$AD$500,1)</f>
        <v>0</v>
      </c>
      <c r="G26" s="27">
        <f>COUNTIFS(Hospitalización!$M$3:$M$500,"Hospitalización General",Hospitalización!$AE$3:$AE$500,1)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Ginecología",Hospitalización!$Z$3:$Z$500,8)</f>
        <v>0</v>
      </c>
      <c r="C32" s="27">
        <f>COUNTIFS(Hospitalización!$M$3:$M$500,"Hospitalización Ginecología",Hospitalización!$AA$3:$AA$500,8)</f>
        <v>0</v>
      </c>
      <c r="D32" s="27">
        <f>COUNTIFS(Hospitalización!$M$3:$M$500,"Hospitalización Ginecología",Hospitalización!$AB$3:$AB$500,8)</f>
        <v>0</v>
      </c>
      <c r="E32" s="27">
        <f>COUNTIFS(Hospitalización!$M$3:$M$500,"Hospitalización Ginecología",Hospitalización!$AC$3:$AC$500,8)</f>
        <v>0</v>
      </c>
      <c r="F32" s="27">
        <f>COUNTIFS(Hospitalización!$M$3:$M$500,"Hospitalización Ginecología",Hospitalización!$AD$3:$AD$500,8)</f>
        <v>0</v>
      </c>
      <c r="G32" s="27">
        <f>COUNTIFS(Hospitalización!$M$3:$M$500,"Hospitalización Ginecología",Hospitalización!$AE$3:$AE$500,8)</f>
        <v>0</v>
      </c>
    </row>
    <row r="33" spans="1:7">
      <c r="A33" s="5" t="s">
        <v>112</v>
      </c>
      <c r="B33" s="27">
        <f>COUNTIFS(Hospitalización!$M$3:$M$500,"Hospitalización Ginecología",Hospitalización!$Y$3:$Y$500,7)</f>
        <v>0</v>
      </c>
      <c r="C33" s="27">
        <f>COUNTIFS(Hospitalización!$M$3:$M$500,"Hospitalización Ginecología",Hospitalización!$AA$3:$AA$500,7)</f>
        <v>0</v>
      </c>
      <c r="D33" s="27">
        <f>COUNTIFS(Hospitalización!$M$3:$M$500,"Hospitalización Ginecología",Hospitalización!$AB$3:$AB$500,7)</f>
        <v>0</v>
      </c>
      <c r="E33" s="27">
        <f>COUNTIFS(Hospitalización!$M$3:$M$500,"Hospitalización Ginecología",Hospitalización!$AC$3:$AC$500,7)</f>
        <v>0</v>
      </c>
      <c r="F33" s="27">
        <f>COUNTIFS(Hospitalización!$M$3:$M$500,"Hospitalización Ginecología",Hospitalización!$AD$3:$AD$500,7)</f>
        <v>0</v>
      </c>
      <c r="G33" s="27">
        <f>COUNTIFS(Hospitalización!$M$3:$M$500,"Hospitalización Ginecología",Hospitalización!$AE$3:$AE$500,7)</f>
        <v>0</v>
      </c>
    </row>
    <row r="34" spans="1:7">
      <c r="A34" s="77" t="s">
        <v>113</v>
      </c>
      <c r="B34" s="27">
        <f>COUNTIFS(Hospitalización!$M$3:$M$500,"Hospitalización Ginecología",Hospitalización!$Y$3:$Y$500,6)</f>
        <v>0</v>
      </c>
      <c r="C34" s="27">
        <f>COUNTIFS(Hospitalización!$M$3:$M$500,"Hospitalización Ginecología",Hospitalización!$AA$3:$AA$500,6)</f>
        <v>0</v>
      </c>
      <c r="D34" s="27">
        <f>COUNTIFS(Hospitalización!$M$3:$M$500,"Hospitalización Ginecología",Hospitalización!$AB$3:$AB$500,6)</f>
        <v>0</v>
      </c>
      <c r="E34" s="27">
        <f>COUNTIFS(Hospitalización!$M$3:$M$500,"Hospitalización Ginecología",Hospitalización!$AC$3:$AC$500,6)</f>
        <v>0</v>
      </c>
      <c r="F34" s="27">
        <f>COUNTIFS(Hospitalización!$M$3:$M$500,"Hospitalización Ginecología",Hospitalización!$AD$3:$AD$500,6)</f>
        <v>0</v>
      </c>
      <c r="G34" s="27">
        <f>COUNTIFS(Hospitalización!$M$3:$M$500,"Hospitalización Ginecología",Hospitalización!$AE$3:$AE$500,6)</f>
        <v>0</v>
      </c>
    </row>
    <row r="35" spans="1:7">
      <c r="A35" s="77" t="s">
        <v>114</v>
      </c>
      <c r="B35" s="27">
        <f>COUNTIFS(Hospitalización!$M$3:$M$500,"Hospitalización Ginecología",Hospitalización!$Y$3:$Y$500,5)</f>
        <v>7</v>
      </c>
      <c r="C35" s="27">
        <f>COUNTIFS(Hospitalización!$M$3:$M$500,"Hospitalización Ginecología",Hospitalización!$AA$3:$AA$500,5)</f>
        <v>7</v>
      </c>
      <c r="D35" s="27">
        <f>COUNTIFS(Hospitalización!$M$3:$M$500,"Hospitalización Ginecología",Hospitalización!$AB$3:$AB$500,5)</f>
        <v>7</v>
      </c>
      <c r="E35" s="27">
        <f>COUNTIFS(Hospitalización!$M$3:$M$500,"Hospitalización Ginecología",Hospitalización!$AC$3:$AC$500,5)</f>
        <v>7</v>
      </c>
      <c r="F35" s="27">
        <f>COUNTIFS(Hospitalización!$M$3:$M$500,"Hospitalización Ginecología",Hospitalización!$AD$3:$AD$500,5)</f>
        <v>7</v>
      </c>
      <c r="G35" s="27">
        <f>COUNTIFS(Hospitalización!$M$3:$M$500,"Hospitalización Ginecología",Hospitalización!$AE$3:$AE$500,5)</f>
        <v>7</v>
      </c>
    </row>
    <row r="36" spans="1:7">
      <c r="A36" s="77" t="s">
        <v>115</v>
      </c>
      <c r="B36" s="27">
        <f>COUNTIFS(Hospitalización!$M$3:$M$500,"Hospitalización Ginecología",Hospitalización!$Y$3:$Y$500,4)</f>
        <v>0</v>
      </c>
      <c r="C36" s="27">
        <f>COUNTIFS(Hospitalización!$M$3:$M$500,"Hospitalización Ginecología",Hospitalización!$AA$3:$AA$500,4)</f>
        <v>0</v>
      </c>
      <c r="D36" s="27">
        <f>COUNTIFS(Hospitalización!$M$3:$M$500,"Hospitalización Ginecología",Hospitalización!$AB$3:$AB$500,4)</f>
        <v>0</v>
      </c>
      <c r="E36" s="27">
        <f>COUNTIFS(Hospitalización!$M$3:$M$500,"Hospitalización Ginecología",Hospitalización!$AC$3:$AC$500,4)</f>
        <v>0</v>
      </c>
      <c r="F36" s="27">
        <f>COUNTIFS(Hospitalización!$M$3:$M$500,"Hospitalización Ginecología",Hospitalización!$AD$3:$AD$500,4)</f>
        <v>0</v>
      </c>
      <c r="G36" s="27">
        <f>COUNTIFS(Hospitalización!$M$3:$M$500,"Hospitalización Ginecología",Hospitalización!$AE$3:$AE$500,4)</f>
        <v>0</v>
      </c>
    </row>
    <row r="37" spans="1:7">
      <c r="A37" s="77" t="s">
        <v>116</v>
      </c>
      <c r="B37" s="27">
        <f>COUNTIFS(Hospitalización!$M$3:$M$500,"Hospitalización Ginecología",Hospitalización!$Y$3:$Y$500,3)</f>
        <v>0</v>
      </c>
      <c r="C37" s="27">
        <f>COUNTIFS(Hospitalización!$M$3:$M$500,"Hospitalización Ginecología",Hospitalización!$AA$3:$AA$500,3)</f>
        <v>0</v>
      </c>
      <c r="D37" s="27">
        <f>COUNTIFS(Hospitalización!$M$3:$M$500,"Hospitalización Ginecología",Hospitalización!$AB$3:$AB$500,3)</f>
        <v>0</v>
      </c>
      <c r="E37" s="27">
        <f>COUNTIFS(Hospitalización!$M$3:$M$500,"Hospitalización Ginecología",Hospitalización!$AC$3:$AC$500,3)</f>
        <v>0</v>
      </c>
      <c r="F37" s="27">
        <f>COUNTIFS(Hospitalización!$M$3:$M$500,"Hospitalización Ginecología",Hospitalización!$AD$3:$AD$500,3)</f>
        <v>0</v>
      </c>
      <c r="G37" s="27">
        <f>COUNTIFS(Hospitalización!$M$3:$M$500,"Hospitalización Ginecología",Hospitalización!$AE$3:$AE$500,3)</f>
        <v>0</v>
      </c>
    </row>
    <row r="38" spans="1:7">
      <c r="A38" s="77" t="s">
        <v>117</v>
      </c>
      <c r="B38" s="27">
        <f>COUNTIFS(Hospitalización!$M$3:$M$500,"Hospitalización Ginecología",Hospitalización!$Y$3:$Y$500,2)</f>
        <v>0</v>
      </c>
      <c r="C38" s="27">
        <f>COUNTIFS(Hospitalización!$M$3:$M$500,"Hospitalización Ginecología",Hospitalización!$AA$3:$AA$500,2)</f>
        <v>0</v>
      </c>
      <c r="D38" s="27">
        <f>COUNTIFS(Hospitalización!$M$3:$M$500,"Hospitalización Ginecología",Hospitalización!$AB$3:$AB$500,2)</f>
        <v>0</v>
      </c>
      <c r="E38" s="27">
        <f>COUNTIFS(Hospitalización!$M$3:$M$500,"Hospitalización Ginecología",Hospitalización!$AC$3:$AC$500,2)</f>
        <v>0</v>
      </c>
      <c r="F38" s="27">
        <f>COUNTIFS(Hospitalización!$M$3:$M$500,"Hospitalización Ginecología",Hospitalización!$AD$3:$AD$500,2)</f>
        <v>0</v>
      </c>
      <c r="G38" s="27">
        <f>COUNTIFS(Hospitalización!$M$3:$M$500,"Hospitalización Ginecología",Hospitalización!$AE$3:$AE$500,2)</f>
        <v>0</v>
      </c>
    </row>
    <row r="39" spans="1:7">
      <c r="A39" s="77" t="s">
        <v>118</v>
      </c>
      <c r="B39" s="27">
        <f>COUNTIFS(Hospitalización!$M$3:$M$500,"Hospitalización Ginecología",Hospitalización!$Y$3:$Y$500,1)</f>
        <v>0</v>
      </c>
      <c r="C39" s="27">
        <f>COUNTIFS(Hospitalización!$M$3:$M$500,"Hospitalización Ginecología",Hospitalización!$AA$3:$AA$500,1)</f>
        <v>0</v>
      </c>
      <c r="D39" s="27">
        <f>COUNTIFS(Hospitalización!$M$3:$M$500,"Hospitalización Ginecología",Hospitalización!$AB$3:$AB$500,1)</f>
        <v>0</v>
      </c>
      <c r="E39" s="27">
        <f>COUNTIFS(Hospitalización!$M$3:$M$500,"Hospitalización Ginecología",Hospitalización!$AC$3:$AC$500,1)</f>
        <v>0</v>
      </c>
      <c r="F39" s="27">
        <f>COUNTIFS(Hospitalización!$M$3:$M$500,"Hospitalización Ginecología",Hospitalización!$AD$3:$AD$500,1)</f>
        <v>0</v>
      </c>
      <c r="G39" s="27">
        <f>COUNTIFS(Hospitalización!$M$3:$M$500,"Hospitalización Ginecología",Hospitalización!$AE$3:$AE$500,1)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Interna",Hospitalización!$Z$3:$Z$500,8)</f>
        <v>0</v>
      </c>
      <c r="C45" s="27">
        <f>COUNTIFS(Hospitalización!$M$3:$M$500,"Hospitalización Medicina Interna",Hospitalización!$AA$3:$AA$500,8)</f>
        <v>0</v>
      </c>
      <c r="D45" s="27">
        <f>COUNTIFS(Hospitalización!$M$3:$M$500,"Hospitalización Medicina Interna",Hospitalización!$AB$3:$AB$500,8)</f>
        <v>0</v>
      </c>
      <c r="E45" s="27">
        <f>COUNTIFS(Hospitalización!$M$3:$M$500,"Hospitalización Medicina Interna",Hospitalización!$AC$3:$AC$500,8)</f>
        <v>0</v>
      </c>
      <c r="F45" s="27">
        <f>COUNTIFS(Hospitalización!$M$3:$M$500,"Hospitalización Medicina Interna",Hospitalización!$AD$3:$AD$500,8)</f>
        <v>0</v>
      </c>
      <c r="G45" s="27">
        <f>COUNTIFS(Hospitalización!$M$3:$M$500,"Hospitalización Medicina Interna",Hospitalización!$AE$3:$AE$500,8)</f>
        <v>0</v>
      </c>
    </row>
    <row r="46" spans="1:7">
      <c r="A46" s="5" t="s">
        <v>112</v>
      </c>
      <c r="B46" s="27">
        <f>COUNTIFS(Hospitalización!$M$3:$M$500,"Hospitalización Medicina Interna",Hospitalización!$Y$3:$Y$500,7)</f>
        <v>0</v>
      </c>
      <c r="C46" s="27">
        <f>COUNTIFS(Hospitalización!$M$3:$M$500,"Hospitalización Medicina Interna",Hospitalización!$AA$3:$AA$500,7)</f>
        <v>0</v>
      </c>
      <c r="D46" s="27">
        <f>COUNTIFS(Hospitalización!$M$3:$M$500,"Hospitalización Medicina Interna",Hospitalización!$AB$3:$AB$500,7)</f>
        <v>0</v>
      </c>
      <c r="E46" s="27">
        <f>COUNTIFS(Hospitalización!$M$3:$M$500,"Hospitalización Medicina Interna",Hospitalización!$AC$3:$AC$500,7)</f>
        <v>0</v>
      </c>
      <c r="F46" s="27">
        <f>COUNTIFS(Hospitalización!$M$3:$M$500,"Hospitalización Medicina Interna",Hospitalización!$AD$3:$AD$500,7)</f>
        <v>0</v>
      </c>
      <c r="G46" s="27">
        <f>COUNTIFS(Hospitalización!$M$3:$M$500,"Hospitalización Medicina Interna",Hospitalización!$AE$3:$AE$500,7)</f>
        <v>0</v>
      </c>
    </row>
    <row r="47" spans="1:7">
      <c r="A47" s="77" t="s">
        <v>113</v>
      </c>
      <c r="B47" s="27">
        <f>COUNTIFS(Hospitalización!$M$3:$M$500,"Hospitalización Medicina Interna",Hospitalización!$Y$3:$Y$500,6)</f>
        <v>0</v>
      </c>
      <c r="C47" s="27">
        <f>COUNTIFS(Hospitalización!$M$3:$M$500,"Hospitalización Medicina Interna",Hospitalización!$AA$3:$AA$500,6)</f>
        <v>0</v>
      </c>
      <c r="D47" s="27">
        <f>COUNTIFS(Hospitalización!$M$3:$M$500,"Hospitalización Medicina Interna",Hospitalización!$AB$3:$AB$500,6)</f>
        <v>0</v>
      </c>
      <c r="E47" s="27">
        <f>COUNTIFS(Hospitalización!$M$3:$M$500,"Hospitalización Medicina Interna",Hospitalización!$AC$3:$AC$500,6)</f>
        <v>0</v>
      </c>
      <c r="F47" s="27">
        <f>COUNTIFS(Hospitalización!$M$3:$M$500,"Hospitalización Medicina Interna",Hospitalización!$AD$3:$AD$500,6)</f>
        <v>0</v>
      </c>
      <c r="G47" s="27">
        <f>COUNTIFS(Hospitalización!$M$3:$M$500,"Hospitalización Medicina Interna",Hospitalización!$AE$3:$AE$500,6)</f>
        <v>0</v>
      </c>
    </row>
    <row r="48" spans="1:7">
      <c r="A48" s="77" t="s">
        <v>114</v>
      </c>
      <c r="B48" s="27">
        <f>COUNTIFS(Hospitalización!$M$3:$M$500,"Hospitalización Medicina Interna",Hospitalización!$Y$3:$Y$500,5)</f>
        <v>6</v>
      </c>
      <c r="C48" s="27">
        <f>COUNTIFS(Hospitalización!$M$3:$M$500,"Hospitalización Medicina Interna",Hospitalización!$AA$3:$AA$500,5)</f>
        <v>6</v>
      </c>
      <c r="D48" s="27">
        <f>COUNTIFS(Hospitalización!$M$3:$M$500,"Hospitalización Medicina Interna",Hospitalización!$AB$3:$AB$500,5)</f>
        <v>6</v>
      </c>
      <c r="E48" s="27">
        <f>COUNTIFS(Hospitalización!$M$3:$M$500,"Hospitalización Medicina Interna",Hospitalización!$AC$3:$AC$500,5)</f>
        <v>6</v>
      </c>
      <c r="F48" s="27">
        <f>COUNTIFS(Hospitalización!$M$3:$M$500,"Hospitalización Medicina Interna",Hospitalización!$AD$3:$AD$500,5)</f>
        <v>6</v>
      </c>
      <c r="G48" s="27">
        <f>COUNTIFS(Hospitalización!$M$3:$M$500,"Hospitalización Medicina Interna",Hospitalización!$AE$3:$AE$500,5)</f>
        <v>6</v>
      </c>
    </row>
    <row r="49" spans="1:7">
      <c r="A49" s="77" t="s">
        <v>115</v>
      </c>
      <c r="B49" s="27">
        <f>COUNTIFS(Hospitalización!$M$3:$M$500,"Hospitalización Medicina Interna",Hospitalización!$Y$3:$Y$500,4)</f>
        <v>1</v>
      </c>
      <c r="C49" s="27">
        <f>COUNTIFS(Hospitalización!$M$3:$M$500,"Hospitalización Medicina Interna",Hospitalización!$AA$3:$AA$500,4)</f>
        <v>1</v>
      </c>
      <c r="D49" s="27">
        <f>COUNTIFS(Hospitalización!$M$3:$M$500,"Hospitalización Medicina Interna",Hospitalización!$AB$3:$AB$500,4)</f>
        <v>1</v>
      </c>
      <c r="E49" s="27">
        <f>COUNTIFS(Hospitalización!$M$3:$M$500,"Hospitalización Medicina Interna",Hospitalización!$AC$3:$AC$500,4)</f>
        <v>1</v>
      </c>
      <c r="F49" s="27">
        <f>COUNTIFS(Hospitalización!$M$3:$M$500,"Hospitalización Medicina Interna",Hospitalización!$AD$3:$AD$500,4)</f>
        <v>1</v>
      </c>
      <c r="G49" s="27">
        <f>COUNTIFS(Hospitalización!$M$3:$M$500,"Hospitalización Medicina Interna",Hospitalización!$AE$3:$AE$500,4)</f>
        <v>1</v>
      </c>
    </row>
    <row r="50" spans="1:7">
      <c r="A50" s="77" t="s">
        <v>116</v>
      </c>
      <c r="B50" s="27">
        <f>COUNTIFS(Hospitalización!$M$3:$M$500,"Hospitalización Medicina Interna",Hospitalización!$Y$3:$Y$500,3)</f>
        <v>0</v>
      </c>
      <c r="C50" s="27">
        <f>COUNTIFS(Hospitalización!$M$3:$M$500,"Hospitalización Medicina Interna",Hospitalización!$AA$3:$AA$500,3)</f>
        <v>0</v>
      </c>
      <c r="D50" s="27">
        <f>COUNTIFS(Hospitalización!$M$3:$M$500,"Hospitalización Medicina Interna",Hospitalización!$AB$3:$AB$500,3)</f>
        <v>0</v>
      </c>
      <c r="E50" s="27">
        <f>COUNTIFS(Hospitalización!$M$3:$M$500,"Hospitalización Medicina Interna",Hospitalización!$AC$3:$AC$500,3)</f>
        <v>0</v>
      </c>
      <c r="F50" s="27">
        <f>COUNTIFS(Hospitalización!$M$3:$M$500,"Hospitalización Medicina Interna",Hospitalización!$AD$3:$AD$500,3)</f>
        <v>0</v>
      </c>
      <c r="G50" s="27">
        <f>COUNTIFS(Hospitalización!$M$3:$M$500,"Hospitalización Medicina Interna",Hospitalización!$AE$3:$AE$500,3)</f>
        <v>0</v>
      </c>
    </row>
    <row r="51" spans="1:7">
      <c r="A51" s="77" t="s">
        <v>117</v>
      </c>
      <c r="B51" s="27">
        <f>COUNTIFS(Hospitalización!$M$3:$M$500,"Hospitalización Medicina Interna",Hospitalización!$Y$3:$Y$500,2)</f>
        <v>0</v>
      </c>
      <c r="C51" s="27">
        <f>COUNTIFS(Hospitalización!$M$3:$M$500,"Hospitalización Medicina Interna",Hospitalización!$AA$3:$AA$500,2)</f>
        <v>0</v>
      </c>
      <c r="D51" s="27">
        <f>COUNTIFS(Hospitalización!$M$3:$M$500,"Hospitalización Medicina Interna",Hospitalización!$AB$3:$AB$500,2)</f>
        <v>0</v>
      </c>
      <c r="E51" s="27">
        <f>COUNTIFS(Hospitalización!$M$3:$M$500,"Hospitalización Medicina Interna",Hospitalización!$AC$3:$AC$500,2)</f>
        <v>0</v>
      </c>
      <c r="F51" s="27">
        <f>COUNTIFS(Hospitalización!$M$3:$M$500,"Hospitalización Medicina Interna",Hospitalización!$AD$3:$AD$500,2)</f>
        <v>0</v>
      </c>
      <c r="G51" s="27">
        <f>COUNTIFS(Hospitalización!$M$3:$M$500,"Hospitalización Medicina Interna",Hospitalización!$AE$3:$AE$500,2)</f>
        <v>0</v>
      </c>
    </row>
    <row r="52" spans="1:7">
      <c r="A52" s="77" t="s">
        <v>118</v>
      </c>
      <c r="B52" s="27">
        <f>COUNTIFS(Hospitalización!$M$3:$M$500,"Hospitalización Medicina Interna",Hospitalización!$Y$3:$Y$500,1)</f>
        <v>0</v>
      </c>
      <c r="C52" s="27">
        <f>COUNTIFS(Hospitalización!$M$3:$M$500,"Hospitalización Medicina Interna",Hospitalización!$AA$3:$AA$500,1)</f>
        <v>0</v>
      </c>
      <c r="D52" s="27">
        <f>COUNTIFS(Hospitalización!$M$3:$M$500,"Hospitalización Medicina Interna",Hospitalización!$AB$3:$AB$500,1)</f>
        <v>0</v>
      </c>
      <c r="E52" s="27">
        <f>COUNTIFS(Hospitalización!$M$3:$M$500,"Hospitalización Medicina Interna",Hospitalización!$AC$3:$AC$500,1)</f>
        <v>0</v>
      </c>
      <c r="F52" s="27">
        <f>COUNTIFS(Hospitalización!$M$3:$M$500,"Hospitalización Medicina Interna",Hospitalización!$AD$3:$AD$500,1)</f>
        <v>0</v>
      </c>
      <c r="G52" s="27">
        <f>COUNTIFS(Hospitalización!$M$3:$M$500,"Hospitalización Medicina Interna",Hospitalización!$AE$3:$AE$500,1)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Pediatría",Hospitalización!$Z$3:$Z$500,8)</f>
        <v>0</v>
      </c>
      <c r="C58" s="27">
        <f>COUNTIFS(Hospitalización!$M$3:$M$500,"Hospitalización Pediatría",Hospitalización!$AA$3:$AA$500,8)</f>
        <v>0</v>
      </c>
      <c r="D58" s="27">
        <f>COUNTIFS(Hospitalización!$M$3:$M$500,"Hospitalización Pediatría",Hospitalización!$AB$3:$AB$500,8)</f>
        <v>0</v>
      </c>
      <c r="E58" s="27">
        <f>COUNTIFS(Hospitalización!$M$3:$M$500,"Hospitalización Pediatría",Hospitalización!$AC$3:$AC$500,8)</f>
        <v>0</v>
      </c>
      <c r="F58" s="27">
        <f>COUNTIFS(Hospitalización!$M$3:$M$500,"Hospitalización Pediatría",Hospitalización!$AD$3:$AD$500,8)</f>
        <v>0</v>
      </c>
      <c r="G58" s="27">
        <f>COUNTIFS(Hospitalización!$M$3:$M$500,"Hospitalización Pediatría",Hospitalización!$AE$3:$AE$500,8)</f>
        <v>0</v>
      </c>
    </row>
    <row r="59" spans="1:7">
      <c r="A59" s="5" t="s">
        <v>112</v>
      </c>
      <c r="B59" s="27">
        <f>COUNTIFS(Hospitalización!$M$3:$M$500,"Hospitalización Pediatría",Hospitalización!$Y$3:$Y$500,7)</f>
        <v>0</v>
      </c>
      <c r="C59" s="27">
        <f>COUNTIFS(Hospitalización!$M$3:$M$500,"Hospitalización Pediatría",Hospitalización!$AA$3:$AA$500,7)</f>
        <v>0</v>
      </c>
      <c r="D59" s="27">
        <f>COUNTIFS(Hospitalización!$M$3:$M$500,"Hospitalización Pediatría",Hospitalización!$AB$3:$AB$500,7)</f>
        <v>0</v>
      </c>
      <c r="E59" s="27">
        <f>COUNTIFS(Hospitalización!$M$3:$M$500,"Hospitalización Pediatría",Hospitalización!$AC$3:$AC$500,7)</f>
        <v>0</v>
      </c>
      <c r="F59" s="27">
        <f>COUNTIFS(Hospitalización!$M$3:$M$500,"Hospitalización Pediatría",Hospitalización!$AD$3:$AD$500,7)</f>
        <v>0</v>
      </c>
      <c r="G59" s="27">
        <f>COUNTIFS(Hospitalización!$M$3:$M$500,"Hospitalización Pediatría",Hospitalización!$AE$3:$AE$500,7)</f>
        <v>0</v>
      </c>
    </row>
    <row r="60" spans="1:7">
      <c r="A60" s="77" t="s">
        <v>113</v>
      </c>
      <c r="B60" s="27">
        <f>COUNTIFS(Hospitalización!$M$3:$M$500,"Hospitalización Pediatría",Hospitalización!$Y$3:$Y$500,6)</f>
        <v>0</v>
      </c>
      <c r="C60" s="27">
        <f>COUNTIFS(Hospitalización!$M$3:$M$500,"Hospitalización Pediatría",Hospitalización!$AA$3:$AA$500,6)</f>
        <v>0</v>
      </c>
      <c r="D60" s="27">
        <f>COUNTIFS(Hospitalización!$M$3:$M$500,"Hospitalización Pediatría",Hospitalización!$AB$3:$AB$500,6)</f>
        <v>0</v>
      </c>
      <c r="E60" s="27">
        <f>COUNTIFS(Hospitalización!$M$3:$M$500,"Hospitalización Pediatría",Hospitalización!$AC$3:$AC$500,6)</f>
        <v>0</v>
      </c>
      <c r="F60" s="27">
        <f>COUNTIFS(Hospitalización!$M$3:$M$500,"Hospitalización Pediatría",Hospitalización!$AD$3:$AD$500,6)</f>
        <v>0</v>
      </c>
      <c r="G60" s="27">
        <f>COUNTIFS(Hospitalización!$M$3:$M$500,"Hospitalización Pediatría",Hospitalización!$AE$3:$AE$500,6)</f>
        <v>0</v>
      </c>
    </row>
    <row r="61" spans="1:7">
      <c r="A61" s="77" t="s">
        <v>114</v>
      </c>
      <c r="B61" s="27">
        <f>COUNTIFS(Hospitalización!$M$3:$M$500,"Hospitalización Pediatría",Hospitalización!$Y$3:$Y$500,5)</f>
        <v>5</v>
      </c>
      <c r="C61" s="27">
        <f>COUNTIFS(Hospitalización!$M$3:$M$500,"Hospitalización Pediatría",Hospitalización!$AA$3:$AA$500,5)</f>
        <v>6</v>
      </c>
      <c r="D61" s="27">
        <f>COUNTIFS(Hospitalización!$M$3:$M$500,"Hospitalización Pediatría",Hospitalización!$AB$3:$AB$500,5)</f>
        <v>6</v>
      </c>
      <c r="E61" s="27">
        <f>COUNTIFS(Hospitalización!$M$3:$M$500,"Hospitalización Pediatría",Hospitalización!$AC$3:$AC$500,5)</f>
        <v>6</v>
      </c>
      <c r="F61" s="27">
        <f>COUNTIFS(Hospitalización!$M$3:$M$500,"Hospitalización Pediatría",Hospitalización!$AD$3:$AD$500,5)</f>
        <v>6</v>
      </c>
      <c r="G61" s="27">
        <f>COUNTIFS(Hospitalización!$M$3:$M$500,"Hospitalización Pediatría",Hospitalización!$AE$3:$AE$500,5)</f>
        <v>6</v>
      </c>
    </row>
    <row r="62" spans="1:7">
      <c r="A62" s="77" t="s">
        <v>115</v>
      </c>
      <c r="B62" s="27">
        <f>COUNTIFS(Hospitalización!$M$3:$M$500,"Hospitalización Pediatría",Hospitalización!$Y$3:$Y$500,4)</f>
        <v>2</v>
      </c>
      <c r="C62" s="27">
        <f>COUNTIFS(Hospitalización!$M$3:$M$500,"Hospitalización Pediatría",Hospitalización!$AA$3:$AA$500,4)</f>
        <v>1</v>
      </c>
      <c r="D62" s="27">
        <f>COUNTIFS(Hospitalización!$M$3:$M$500,"Hospitalización Pediatría",Hospitalización!$AB$3:$AB$500,4)</f>
        <v>1</v>
      </c>
      <c r="E62" s="27">
        <f>COUNTIFS(Hospitalización!$M$3:$M$500,"Hospitalización Pediatría",Hospitalización!$AC$3:$AC$500,4)</f>
        <v>1</v>
      </c>
      <c r="F62" s="27">
        <f>COUNTIFS(Hospitalización!$M$3:$M$500,"Hospitalización Pediatría",Hospitalización!$AD$3:$AD$500,4)</f>
        <v>1</v>
      </c>
      <c r="G62" s="27">
        <f>COUNTIFS(Hospitalización!$M$3:$M$500,"Hospitalización Pediatría",Hospitalización!$AE$3:$AE$500,4)</f>
        <v>1</v>
      </c>
    </row>
    <row r="63" spans="1:7">
      <c r="A63" s="77" t="s">
        <v>116</v>
      </c>
      <c r="B63" s="27">
        <f>COUNTIFS(Hospitalización!$M$3:$M$500,"Hospitalización Pediatría",Hospitalización!$Y$3:$Y$500,3)</f>
        <v>0</v>
      </c>
      <c r="C63" s="27">
        <f>COUNTIFS(Hospitalización!$M$3:$M$500,"Hospitalización Pediatría",Hospitalización!$AA$3:$AA$500,3)</f>
        <v>0</v>
      </c>
      <c r="D63" s="27">
        <f>COUNTIFS(Hospitalización!$M$3:$M$500,"Hospitalización Pediatría",Hospitalización!$AB$3:$AB$500,3)</f>
        <v>0</v>
      </c>
      <c r="E63" s="27">
        <f>COUNTIFS(Hospitalización!$M$3:$M$500,"Hospitalización Pediatría",Hospitalización!$AC$3:$AC$500,3)</f>
        <v>0</v>
      </c>
      <c r="F63" s="27">
        <f>COUNTIFS(Hospitalización!$M$3:$M$500,"Hospitalización Pediatría",Hospitalización!$AD$3:$AD$500,3)</f>
        <v>0</v>
      </c>
      <c r="G63" s="27">
        <f>COUNTIFS(Hospitalización!$M$3:$M$500,"Hospitalización Pediatría",Hospitalización!$AE$3:$AE$500,3)</f>
        <v>0</v>
      </c>
    </row>
    <row r="64" spans="1:7">
      <c r="A64" s="77" t="s">
        <v>117</v>
      </c>
      <c r="B64" s="27">
        <f>COUNTIFS(Hospitalización!$M$3:$M$500,"Hospitalización Pediatría",Hospitalización!$Y$3:$Y$500,2)</f>
        <v>0</v>
      </c>
      <c r="C64" s="27">
        <f>COUNTIFS(Hospitalización!$M$3:$M$500,"Hospitalización Pediatría",Hospitalización!$AA$3:$AA$500,2)</f>
        <v>0</v>
      </c>
      <c r="D64" s="27">
        <f>COUNTIFS(Hospitalización!$M$3:$M$500,"Hospitalización Pediatría",Hospitalización!$AB$3:$AB$500,2)</f>
        <v>0</v>
      </c>
      <c r="E64" s="27">
        <f>COUNTIFS(Hospitalización!$M$3:$M$500,"Hospitalización Pediatría",Hospitalización!$AC$3:$AC$500,2)</f>
        <v>0</v>
      </c>
      <c r="F64" s="27">
        <f>COUNTIFS(Hospitalización!$M$3:$M$500,"Hospitalización Pediatría",Hospitalización!$AD$3:$AD$500,2)</f>
        <v>0</v>
      </c>
      <c r="G64" s="27">
        <f>COUNTIFS(Hospitalización!$M$3:$M$500,"Hospitalización Pediatría",Hospitalización!$AE$3:$AE$500,2)</f>
        <v>0</v>
      </c>
    </row>
    <row r="65" spans="1:7">
      <c r="A65" s="77" t="s">
        <v>118</v>
      </c>
      <c r="B65" s="27">
        <f>COUNTIFS(Hospitalización!$M$3:$M$500,"Hospitalización Pediatría",Hospitalización!$Y$3:$Y$500,1)</f>
        <v>0</v>
      </c>
      <c r="C65" s="27">
        <f>COUNTIFS(Hospitalización!$M$3:$M$500,"Hospitalización Pediatría",Hospitalización!$AA$3:$AA$500,1)</f>
        <v>0</v>
      </c>
      <c r="D65" s="27">
        <f>COUNTIFS(Hospitalización!$M$3:$M$500,"Hospitalización Pediatría",Hospitalización!$AB$3:$AB$500,1)</f>
        <v>0</v>
      </c>
      <c r="E65" s="27">
        <f>COUNTIFS(Hospitalización!$M$3:$M$500,"Hospitalización Pediatría",Hospitalización!$AC$3:$AC$500,1)</f>
        <v>0</v>
      </c>
      <c r="F65" s="27">
        <f>COUNTIFS(Hospitalización!$M$3:$M$500,"Hospitalización Pediatría",Hospitalización!$AD$3:$AD$500,1)</f>
        <v>0</v>
      </c>
      <c r="G65" s="27">
        <f>COUNTIFS(Hospitalización!$M$3:$M$500,"Hospitalización Pediatría",Hospitalización!$AE$3:$AE$500,1)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Quirurgicas",Hospitalización!$Z$3:$Z$500,8)</f>
        <v>0</v>
      </c>
      <c r="C71" s="27">
        <f>COUNTIFS(Hospitalización!$M$3:$M$500,"Hospitalización Quirurgicas",Hospitalización!$AA$3:$AA$500,8)</f>
        <v>0</v>
      </c>
      <c r="D71" s="27">
        <f>COUNTIFS(Hospitalización!$M$3:$M$500,"Hospitalización Quirurgicas",Hospitalización!$AB$3:$AB$500,8)</f>
        <v>0</v>
      </c>
      <c r="E71" s="27">
        <f>COUNTIFS(Hospitalización!$M$3:$M$500,"Hospitalización Quirurgicas",Hospitalización!$AC$3:$AC$500,8)</f>
        <v>0</v>
      </c>
      <c r="F71" s="27">
        <f>COUNTIFS(Hospitalización!$M$3:$M$500,"Hospitalización Quirurgicas",Hospitalización!$AD$3:$AD$500,8)</f>
        <v>0</v>
      </c>
      <c r="G71" s="27">
        <f>COUNTIFS(Hospitalización!$M$3:$M$500,"Hospitalización Quirurgicas",Hospitalización!$AE$3:$AE$500,8)</f>
        <v>0</v>
      </c>
    </row>
    <row r="72" spans="1:7">
      <c r="A72" s="5" t="s">
        <v>112</v>
      </c>
      <c r="B72" s="27">
        <f>COUNTIFS(Hospitalización!$M$3:$M$500,"Hospitalización Quirurgicas",Hospitalización!$Y$3:$Y$500,7)</f>
        <v>0</v>
      </c>
      <c r="C72" s="27">
        <f>COUNTIFS(Hospitalización!$M$3:$M$500,"Hospitalización Quirurgicas",Hospitalización!$AA$3:$AA$500,7)</f>
        <v>0</v>
      </c>
      <c r="D72" s="27">
        <f>COUNTIFS(Hospitalización!$M$3:$M$500,"Hospitalización Quirurgicas",Hospitalización!$AB$3:$AB$500,7)</f>
        <v>0</v>
      </c>
      <c r="E72" s="27">
        <f>COUNTIFS(Hospitalización!$M$3:$M$500,"Hospitalización Quirurgicas",Hospitalización!$AC$3:$AC$500,7)</f>
        <v>0</v>
      </c>
      <c r="F72" s="27">
        <f>COUNTIFS(Hospitalización!$M$3:$M$500,"Hospitalización Quirurgicas",Hospitalización!$AD$3:$AD$500,7)</f>
        <v>0</v>
      </c>
      <c r="G72" s="27">
        <f>COUNTIFS(Hospitalización!$M$3:$M$500,"Hospitalización Quirurgicas",Hospitalización!$AE$3:$AE$500,7)</f>
        <v>0</v>
      </c>
    </row>
    <row r="73" spans="1:7">
      <c r="A73" s="77" t="s">
        <v>113</v>
      </c>
      <c r="B73" s="27">
        <f>COUNTIFS(Hospitalización!$M$3:$M$500,"Hospitalización Quirurgicas",Hospitalización!$Y$3:$Y$500,6)</f>
        <v>0</v>
      </c>
      <c r="C73" s="27">
        <f>COUNTIFS(Hospitalización!$M$3:$M$500,"Hospitalización Quirurgicas",Hospitalización!$AA$3:$AA$500,6)</f>
        <v>0</v>
      </c>
      <c r="D73" s="27">
        <f>COUNTIFS(Hospitalización!$M$3:$M$500,"Hospitalización Quirurgicas",Hospitalización!$AB$3:$AB$500,6)</f>
        <v>0</v>
      </c>
      <c r="E73" s="27">
        <f>COUNTIFS(Hospitalización!$M$3:$M$500,"Hospitalización Quirurgicas",Hospitalización!$AC$3:$AC$500,6)</f>
        <v>0</v>
      </c>
      <c r="F73" s="27">
        <f>COUNTIFS(Hospitalización!$M$3:$M$500,"Hospitalización Quirurgicas",Hospitalización!$AD$3:$AD$500,6)</f>
        <v>0</v>
      </c>
      <c r="G73" s="27">
        <f>COUNTIFS(Hospitalización!$M$3:$M$500,"Hospitalización Quirurgicas",Hospitalización!$AE$3:$AE$500,6)</f>
        <v>0</v>
      </c>
    </row>
    <row r="74" spans="1:7">
      <c r="A74" s="77" t="s">
        <v>114</v>
      </c>
      <c r="B74" s="27">
        <f>COUNTIFS(Hospitalización!$M$3:$M$500,"Hospitalización Quirurgicas",Hospitalización!$Y$3:$Y$500,5)</f>
        <v>6</v>
      </c>
      <c r="C74" s="27">
        <f>COUNTIFS(Hospitalización!$M$3:$M$500,"Hospitalización Quirurgicas",Hospitalización!$AA$3:$AA$500,5)</f>
        <v>5</v>
      </c>
      <c r="D74" s="27">
        <f>COUNTIFS(Hospitalización!$M$3:$M$500,"Hospitalización Quirurgicas",Hospitalización!$AB$3:$AB$500,5)</f>
        <v>5</v>
      </c>
      <c r="E74" s="27">
        <f>COUNTIFS(Hospitalización!$M$3:$M$500,"Hospitalización Quirurgicas",Hospitalización!$AC$3:$AC$500,5)</f>
        <v>6</v>
      </c>
      <c r="F74" s="27">
        <f>COUNTIFS(Hospitalización!$M$3:$M$500,"Hospitalización Quirurgicas",Hospitalización!$AD$3:$AD$500,5)</f>
        <v>6</v>
      </c>
      <c r="G74" s="27">
        <f>COUNTIFS(Hospitalización!$M$3:$M$500,"Hospitalización Quirurgicas",Hospitalización!$AE$3:$AE$500,5)</f>
        <v>6</v>
      </c>
    </row>
    <row r="75" spans="1:7">
      <c r="A75" s="77" t="s">
        <v>115</v>
      </c>
      <c r="B75" s="27">
        <f>COUNTIFS(Hospitalización!$M$3:$M$500,"Hospitalización Quirurgicas",Hospitalización!$Y$3:$Y$500,4)</f>
        <v>1</v>
      </c>
      <c r="C75" s="27">
        <f>COUNTIFS(Hospitalización!$M$3:$M$500,"Hospitalización Quirurgicas",Hospitalización!$AA$3:$AA$500,4)</f>
        <v>2</v>
      </c>
      <c r="D75" s="27">
        <f>COUNTIFS(Hospitalización!$M$3:$M$500,"Hospitalización Quirurgicas",Hospitalización!$AB$3:$AB$500,4)</f>
        <v>1</v>
      </c>
      <c r="E75" s="27">
        <f>COUNTIFS(Hospitalización!$M$3:$M$500,"Hospitalización Quirurgicas",Hospitalización!$AC$3:$AC$500,4)</f>
        <v>1</v>
      </c>
      <c r="F75" s="27">
        <f>COUNTIFS(Hospitalización!$M$3:$M$500,"Hospitalización Quirurgicas",Hospitalización!$AD$3:$AD$500,4)</f>
        <v>1</v>
      </c>
      <c r="G75" s="27">
        <f>COUNTIFS(Hospitalización!$M$3:$M$500,"Hospitalización Quirurgicas",Hospitalización!$AE$3:$AE$500,4)</f>
        <v>1</v>
      </c>
    </row>
    <row r="76" spans="1:7">
      <c r="A76" s="77" t="s">
        <v>116</v>
      </c>
      <c r="B76" s="27">
        <f>COUNTIFS(Hospitalización!$M$3:$M$500,"Hospitalización Quirurgicas",Hospitalización!$Y$3:$Y$500,3)</f>
        <v>0</v>
      </c>
      <c r="C76" s="27">
        <f>COUNTIFS(Hospitalización!$M$3:$M$500,"Hospitalización Quirurgicas",Hospitalización!$AA$3:$AA$500,3)</f>
        <v>0</v>
      </c>
      <c r="D76" s="27">
        <f>COUNTIFS(Hospitalización!$M$3:$M$500,"Hospitalización Quirurgicas",Hospitalización!$AB$3:$AB$500,3)</f>
        <v>1</v>
      </c>
      <c r="E76" s="27">
        <f>COUNTIFS(Hospitalización!$M$3:$M$500,"Hospitalización Quirurgicas",Hospitalización!$AC$3:$AC$500,3)</f>
        <v>0</v>
      </c>
      <c r="F76" s="27">
        <f>COUNTIFS(Hospitalización!$M$3:$M$500,"Hospitalización Quirurgicas",Hospitalización!$AD$3:$AD$500,3)</f>
        <v>0</v>
      </c>
      <c r="G76" s="27">
        <f>COUNTIFS(Hospitalización!$M$3:$M$500,"Hospitalización Quirurgicas",Hospitalización!$AE$3:$AE$500,3)</f>
        <v>0</v>
      </c>
    </row>
    <row r="77" spans="1:7">
      <c r="A77" s="77" t="s">
        <v>117</v>
      </c>
      <c r="B77" s="27">
        <f>COUNTIFS(Hospitalización!$M$3:$M$500,"Hospitalización Quirurgicas",Hospitalización!$Y$3:$Y$500,2)</f>
        <v>0</v>
      </c>
      <c r="C77" s="27">
        <f>COUNTIFS(Hospitalización!$M$3:$M$500,"Hospitalización Quirurgicas",Hospitalización!$AA$3:$AA$500,2)</f>
        <v>0</v>
      </c>
      <c r="D77" s="27">
        <f>COUNTIFS(Hospitalización!$M$3:$M$500,"Hospitalización Quirurgicas",Hospitalización!$AB$3:$AB$500,2)</f>
        <v>0</v>
      </c>
      <c r="E77" s="27">
        <f>COUNTIFS(Hospitalización!$M$3:$M$500,"Hospitalización Quirurgicas",Hospitalización!$AC$3:$AC$500,2)</f>
        <v>0</v>
      </c>
      <c r="F77" s="27">
        <f>COUNTIFS(Hospitalización!$M$3:$M$500,"Hospitalización Quirurgicas",Hospitalización!$AD$3:$AD$500,2)</f>
        <v>0</v>
      </c>
      <c r="G77" s="27">
        <f>COUNTIFS(Hospitalización!$M$3:$M$500,"Hospitalización Quirurgicas",Hospitalización!$AE$3:$AE$500,2)</f>
        <v>0</v>
      </c>
    </row>
    <row r="78" spans="1:7">
      <c r="A78" s="77" t="s">
        <v>118</v>
      </c>
      <c r="B78" s="27">
        <f>COUNTIFS(Hospitalización!$M$3:$M$500,"Hospitalización Quirurgicas",Hospitalización!$Y$3:$Y$500,1)</f>
        <v>0</v>
      </c>
      <c r="C78" s="27">
        <f>COUNTIFS(Hospitalización!$M$3:$M$500,"Hospitalización Quirurgicas",Hospitalización!$AA$3:$AA$500,1)</f>
        <v>0</v>
      </c>
      <c r="D78" s="27">
        <f>COUNTIFS(Hospitalización!$M$3:$M$500,"Hospitalización Quirurgicas",Hospitalización!$AB$3:$AB$500,1)</f>
        <v>0</v>
      </c>
      <c r="E78" s="27">
        <f>COUNTIFS(Hospitalización!$M$3:$M$500,"Hospitalización Quirurgicas",Hospitalización!$AC$3:$AC$500,1)</f>
        <v>0</v>
      </c>
      <c r="F78" s="27">
        <f>COUNTIFS(Hospitalización!$M$3:$M$500,"Hospitalización Quirurgicas",Hospitalización!$AD$3:$AD$500,1)</f>
        <v>0</v>
      </c>
      <c r="G78" s="27">
        <f>COUNTIFS(Hospitalización!$M$3:$M$500,"Hospitalización Quirurgicas",Hospitalización!$AE$3:$AE$500,1)</f>
        <v>0</v>
      </c>
    </row>
    <row r="79" spans="1:7">
      <c r="A79" s="25"/>
      <c r="B79" s="17">
        <f t="shared" ref="B79:G79" si="5">SUM(B71:B78)</f>
        <v>7</v>
      </c>
      <c r="C79" s="17">
        <f t="shared" si="5"/>
        <v>7</v>
      </c>
      <c r="D79" s="17">
        <f t="shared" si="5"/>
        <v>7</v>
      </c>
      <c r="E79" s="17">
        <f t="shared" si="5"/>
        <v>7</v>
      </c>
      <c r="F79" s="17">
        <f t="shared" si="5"/>
        <v>7</v>
      </c>
      <c r="G79" s="17">
        <f t="shared" si="5"/>
        <v>7</v>
      </c>
    </row>
    <row r="81" spans="1:7">
      <c r="A81" s="25"/>
      <c r="B81" s="190" t="s">
        <v>146</v>
      </c>
      <c r="C81" s="190"/>
      <c r="D81" s="190"/>
      <c r="E81" s="190"/>
      <c r="F81" s="190"/>
      <c r="G81" s="190"/>
    </row>
    <row r="82" spans="1:7" ht="53.4">
      <c r="A82" s="25"/>
      <c r="B82" s="84" t="s">
        <v>161</v>
      </c>
      <c r="C82" s="82" t="s">
        <v>162</v>
      </c>
      <c r="D82" s="84" t="s">
        <v>163</v>
      </c>
      <c r="E82" s="82" t="s">
        <v>164</v>
      </c>
      <c r="F82" s="82" t="s">
        <v>165</v>
      </c>
      <c r="G82" s="82" t="s">
        <v>166</v>
      </c>
    </row>
    <row r="83" spans="1:7">
      <c r="A83" s="5" t="s">
        <v>111</v>
      </c>
      <c r="B83" s="27">
        <f>COUNTIFS(Hospitalización!$M$3:$M$500,"Unidades de cuidados intensivos",Hospitalización!$Z$3:$Z$500,8)</f>
        <v>0</v>
      </c>
      <c r="C83" s="27">
        <f>COUNTIFS(Hospitalización!$M$3:$M$500,"Unidades de cuidados intensivos",Hospitalización!$AA$3:$AA$500,8)</f>
        <v>0</v>
      </c>
      <c r="D83" s="27">
        <f>COUNTIFS(Hospitalización!$M$3:$M$500,"Unidades de cuidados intensivos",Hospitalización!$AB$3:$AB$500,8)</f>
        <v>0</v>
      </c>
      <c r="E83" s="27">
        <f>COUNTIFS(Hospitalización!$M$3:$M$500,"Unidades de cuidados intensivos",Hospitalización!$AC$3:$AC$500,8)</f>
        <v>0</v>
      </c>
      <c r="F83" s="27">
        <f>COUNTIFS(Hospitalización!$M$3:$M$500,"Unidades de cuidados intensivos",Hospitalización!$AD$3:$AD$500,8)</f>
        <v>0</v>
      </c>
      <c r="G83" s="27">
        <f>COUNTIFS(Hospitalización!$M$3:$M$500,"Unidades de cuidados intensivos",Hospitalización!$AE$3:$AE$500,8)</f>
        <v>0</v>
      </c>
    </row>
    <row r="84" spans="1:7">
      <c r="A84" s="5" t="s">
        <v>112</v>
      </c>
      <c r="B84" s="27">
        <f>COUNTIFS(Hospitalización!$M$3:$M$500,"Unidades de cuidados intensivos",Hospitalización!$Y$3:$Y$500,7)</f>
        <v>0</v>
      </c>
      <c r="C84" s="27">
        <f>COUNTIFS(Hospitalización!$M$3:$M$500,"Unidades de cuidados intensivos",Hospitalización!$AA$3:$AA$500,7)</f>
        <v>0</v>
      </c>
      <c r="D84" s="27">
        <f>COUNTIFS(Hospitalización!$M$3:$M$500,"Unidades de cuidados intensivos",Hospitalización!$AB$3:$AB$500,7)</f>
        <v>0</v>
      </c>
      <c r="E84" s="27">
        <f>COUNTIFS(Hospitalización!$M$3:$M$500,"Unidades de cuidados intensivos",Hospitalización!$AC$3:$AC$500,7)</f>
        <v>0</v>
      </c>
      <c r="F84" s="27">
        <f>COUNTIFS(Hospitalización!$M$3:$M$500,"Unidades de cuidados intensivos",Hospitalización!$AD$3:$AD$500,7)</f>
        <v>0</v>
      </c>
      <c r="G84" s="27">
        <f>COUNTIFS(Hospitalización!$M$3:$M$500,"Unidades de cuidados intensivos",Hospitalización!$AE$3:$AE$500,7)</f>
        <v>0</v>
      </c>
    </row>
    <row r="85" spans="1:7">
      <c r="A85" s="77" t="s">
        <v>113</v>
      </c>
      <c r="B85" s="27">
        <f>COUNTIFS(Hospitalización!$M$3:$M$500,"Unidades de cuidados intensivos",Hospitalización!$Y$3:$Y$500,6)</f>
        <v>0</v>
      </c>
      <c r="C85" s="27">
        <f>COUNTIFS(Hospitalización!$M$3:$M$500,"Unidades de cuidados intensivos",Hospitalización!$AA$3:$AA$500,6)</f>
        <v>0</v>
      </c>
      <c r="D85" s="27">
        <f>COUNTIFS(Hospitalización!$M$3:$M$500,"Unidades de cuidados intensivos",Hospitalización!$AB$3:$AB$500,6)</f>
        <v>0</v>
      </c>
      <c r="E85" s="27">
        <f>COUNTIFS(Hospitalización!$M$3:$M$500,"Unidades de cuidados intensivos",Hospitalización!$AC$3:$AC$500,6)</f>
        <v>0</v>
      </c>
      <c r="F85" s="27">
        <f>COUNTIFS(Hospitalización!$M$3:$M$500,"Unidades de cuidados intensivos",Hospitalización!$AD$3:$AD$500,6)</f>
        <v>0</v>
      </c>
      <c r="G85" s="27">
        <f>COUNTIFS(Hospitalización!$M$3:$M$500,"Unidades de cuidados intensivos",Hospitalización!$AE$3:$AE$500,6)</f>
        <v>0</v>
      </c>
    </row>
    <row r="86" spans="1:7">
      <c r="A86" s="77" t="s">
        <v>114</v>
      </c>
      <c r="B86" s="27">
        <f>COUNTIFS(Hospitalización!$M$3:$M$500,"Unidades de cuidados intensivos",Hospitalización!$Y$3:$Y$500,5)</f>
        <v>6</v>
      </c>
      <c r="C86" s="27">
        <f>COUNTIFS(Hospitalización!$M$3:$M$500,"Unidades de cuidados intensivos",Hospitalización!$AA$3:$AA$500,5)</f>
        <v>7</v>
      </c>
      <c r="D86" s="27">
        <f>COUNTIFS(Hospitalización!$M$3:$M$500,"Unidades de cuidados intensivos",Hospitalización!$AB$3:$AB$500,5)</f>
        <v>7</v>
      </c>
      <c r="E86" s="27">
        <f>COUNTIFS(Hospitalización!$M$3:$M$500,"Unidades de cuidados intensivos",Hospitalización!$AC$3:$AC$500,5)</f>
        <v>7</v>
      </c>
      <c r="F86" s="27">
        <f>COUNTIFS(Hospitalización!$M$3:$M$500,"Unidades de cuidados intensivos",Hospitalización!$AD$3:$AD$500,5)</f>
        <v>7</v>
      </c>
      <c r="G86" s="27">
        <f>COUNTIFS(Hospitalización!$M$3:$M$500,"Unidades de cuidados intensivos",Hospitalización!$AE$3:$AE$500,5)</f>
        <v>7</v>
      </c>
    </row>
    <row r="87" spans="1:7">
      <c r="A87" s="77" t="s">
        <v>115</v>
      </c>
      <c r="B87" s="27">
        <f>COUNTIFS(Hospitalización!$M$3:$M$500,"Unidades de cuidados intensivos",Hospitalización!$Y$3:$Y$500,4)</f>
        <v>1</v>
      </c>
      <c r="C87" s="27">
        <f>COUNTIFS(Hospitalización!$M$3:$M$500,"Unidades de cuidados intensivos",Hospitalización!$AA$3:$AA$500,4)</f>
        <v>0</v>
      </c>
      <c r="D87" s="27">
        <f>COUNTIFS(Hospitalización!$M$3:$M$500,"Unidades de cuidados intensivos",Hospitalización!$AB$3:$AB$500,4)</f>
        <v>0</v>
      </c>
      <c r="E87" s="27">
        <f>COUNTIFS(Hospitalización!$M$3:$M$500,"Unidades de cuidados intensivos",Hospitalización!$AC$3:$AC$500,4)</f>
        <v>0</v>
      </c>
      <c r="F87" s="27">
        <f>COUNTIFS(Hospitalización!$M$3:$M$500,"Unidades de cuidados intensivos",Hospitalización!$AD$3:$AD$500,4)</f>
        <v>0</v>
      </c>
      <c r="G87" s="27">
        <f>COUNTIFS(Hospitalización!$M$3:$M$500,"Unidades de cuidados intensivos",Hospitalización!$AE$3:$AE$500,4)</f>
        <v>0</v>
      </c>
    </row>
    <row r="88" spans="1:7">
      <c r="A88" s="77" t="s">
        <v>116</v>
      </c>
      <c r="B88" s="27">
        <f>COUNTIFS(Hospitalización!$M$3:$M$500,"Unidades de cuidados intensivos",Hospitalización!$Y$3:$Y$500,3)</f>
        <v>0</v>
      </c>
      <c r="C88" s="27">
        <f>COUNTIFS(Hospitalización!$M$3:$M$500,"Unidades de cuidados intensivos",Hospitalización!$AA$3:$AA$500,3)</f>
        <v>0</v>
      </c>
      <c r="D88" s="27">
        <f>COUNTIFS(Hospitalización!$M$3:$M$500,"Unidades de cuidados intensivos",Hospitalización!$AB$3:$AB$500,3)</f>
        <v>0</v>
      </c>
      <c r="E88" s="27">
        <f>COUNTIFS(Hospitalización!$M$3:$M$500,"Unidades de cuidados intensivos",Hospitalización!$AC$3:$AC$500,3)</f>
        <v>0</v>
      </c>
      <c r="F88" s="27">
        <f>COUNTIFS(Hospitalización!$M$3:$M$500,"Unidades de cuidados intensivos",Hospitalización!$AD$3:$AD$500,3)</f>
        <v>0</v>
      </c>
      <c r="G88" s="27">
        <f>COUNTIFS(Hospitalización!$M$3:$M$500,"Unidades de cuidados intensivos",Hospitalización!$AE$3:$AE$500,3)</f>
        <v>0</v>
      </c>
    </row>
    <row r="89" spans="1:7">
      <c r="A89" s="77" t="s">
        <v>117</v>
      </c>
      <c r="B89" s="27">
        <f>COUNTIFS(Hospitalización!$M$3:$M$500,"Unidades de cuidados intensivos",Hospitalización!$Y$3:$Y$500,2)</f>
        <v>0</v>
      </c>
      <c r="C89" s="27">
        <f>COUNTIFS(Hospitalización!$M$3:$M$500,"Unidades de cuidados intensivos",Hospitalización!$AA$3:$AA$500,2)</f>
        <v>0</v>
      </c>
      <c r="D89" s="27">
        <f>COUNTIFS(Hospitalización!$M$3:$M$500,"Unidades de cuidados intensivos",Hospitalización!$AB$3:$AB$500,2)</f>
        <v>0</v>
      </c>
      <c r="E89" s="27">
        <f>COUNTIFS(Hospitalización!$M$3:$M$500,"Unidades de cuidados intensivos",Hospitalización!$AC$3:$AC$500,2)</f>
        <v>0</v>
      </c>
      <c r="F89" s="27">
        <f>COUNTIFS(Hospitalización!$M$3:$M$500,"Unidades de cuidados intensivos",Hospitalización!$AD$3:$AD$500,2)</f>
        <v>0</v>
      </c>
      <c r="G89" s="27">
        <f>COUNTIFS(Hospitalización!$M$3:$M$500,"Unidades de cuidados intensivos",Hospitalización!$AE$3:$AE$500,2)</f>
        <v>0</v>
      </c>
    </row>
    <row r="90" spans="1:7">
      <c r="A90" s="77" t="s">
        <v>118</v>
      </c>
      <c r="B90" s="27">
        <f>COUNTIFS(Hospitalización!$M$3:$M$500,"Unidades de cuidados intensivos",Hospitalización!$Y$3:$Y$500,1)</f>
        <v>0</v>
      </c>
      <c r="C90" s="27">
        <f>COUNTIFS(Hospitalización!$M$3:$M$500,"Unidades de cuidados intensivos",Hospitalización!$AA$3:$AA$500,1)</f>
        <v>0</v>
      </c>
      <c r="D90" s="27">
        <f>COUNTIFS(Hospitalización!$M$3:$M$500,"Unidades de cuidados intensivos",Hospitalización!$AB$3:$AB$500,1)</f>
        <v>0</v>
      </c>
      <c r="E90" s="27">
        <f>COUNTIFS(Hospitalización!$M$3:$M$500,"Unidades de cuidados intensivos",Hospitalización!$AC$3:$AC$500,1)</f>
        <v>0</v>
      </c>
      <c r="F90" s="27">
        <f>COUNTIFS(Hospitalización!$M$3:$M$500,"Unidades de cuidados intensivos",Hospitalización!$AD$3:$AD$500,1)</f>
        <v>0</v>
      </c>
      <c r="G90" s="27">
        <f>COUNTIFS(Hospitalización!$M$3:$M$500,"Unidades de cuidados intensivos",Hospitalización!$AE$3:$AE$500,1)</f>
        <v>0</v>
      </c>
    </row>
    <row r="91" spans="1:7">
      <c r="A91" s="25"/>
      <c r="B91" s="17">
        <f t="shared" ref="B91:G91" si="6">SUM(B83:B90)</f>
        <v>7</v>
      </c>
      <c r="C91" s="17">
        <f t="shared" si="6"/>
        <v>7</v>
      </c>
      <c r="D91" s="17">
        <f t="shared" si="6"/>
        <v>7</v>
      </c>
      <c r="E91" s="17">
        <f t="shared" si="6"/>
        <v>7</v>
      </c>
      <c r="F91" s="17">
        <f t="shared" si="6"/>
        <v>7</v>
      </c>
      <c r="G91" s="17">
        <f t="shared" si="6"/>
        <v>7</v>
      </c>
    </row>
    <row r="92" spans="1:7">
      <c r="A92" s="25"/>
      <c r="B92" s="43"/>
      <c r="C92" s="43"/>
      <c r="D92" s="43"/>
      <c r="E92" s="43"/>
      <c r="F92" s="43"/>
      <c r="G92" s="43"/>
    </row>
    <row r="93" spans="1:7" s="2" customFormat="1">
      <c r="A93" s="11"/>
      <c r="B93" s="1"/>
      <c r="C93" s="1"/>
      <c r="D93" s="1"/>
      <c r="E93" s="1"/>
      <c r="F93" s="1"/>
      <c r="G93" s="1"/>
    </row>
    <row r="94" spans="1:7" ht="15" customHeight="1">
      <c r="A94" s="25"/>
      <c r="B94" s="192" t="s">
        <v>167</v>
      </c>
      <c r="C94" s="192"/>
      <c r="D94" s="192"/>
      <c r="E94" s="192"/>
      <c r="F94" s="192"/>
      <c r="G94" s="192"/>
    </row>
    <row r="95" spans="1:7" ht="53.4">
      <c r="A95" s="25"/>
      <c r="B95" s="82" t="s">
        <v>161</v>
      </c>
      <c r="C95" s="82" t="s">
        <v>162</v>
      </c>
      <c r="D95" s="84" t="s">
        <v>163</v>
      </c>
      <c r="E95" s="82" t="s">
        <v>164</v>
      </c>
      <c r="F95" s="82" t="s">
        <v>165</v>
      </c>
      <c r="G95" s="82" t="s">
        <v>166</v>
      </c>
    </row>
    <row r="96" spans="1:7" ht="26.4">
      <c r="A96" s="5" t="s">
        <v>16</v>
      </c>
      <c r="B96" s="85">
        <f t="shared" ref="B96:G96" si="7">(B22+B23)/$B$27</f>
        <v>1</v>
      </c>
      <c r="C96" s="85">
        <f t="shared" si="7"/>
        <v>1</v>
      </c>
      <c r="D96" s="85">
        <f t="shared" si="7"/>
        <v>1</v>
      </c>
      <c r="E96" s="85">
        <f t="shared" si="7"/>
        <v>1</v>
      </c>
      <c r="F96" s="85">
        <f t="shared" si="7"/>
        <v>1</v>
      </c>
      <c r="G96" s="85">
        <f t="shared" si="7"/>
        <v>1</v>
      </c>
    </row>
    <row r="97" spans="1:7" ht="26.4">
      <c r="A97" s="5" t="s">
        <v>17</v>
      </c>
      <c r="B97" s="85">
        <f t="shared" ref="B97:G97" si="8">(B35+B36)/$B$40</f>
        <v>1</v>
      </c>
      <c r="C97" s="85">
        <f t="shared" si="8"/>
        <v>1</v>
      </c>
      <c r="D97" s="85">
        <f t="shared" si="8"/>
        <v>1</v>
      </c>
      <c r="E97" s="85">
        <f t="shared" si="8"/>
        <v>1</v>
      </c>
      <c r="F97" s="85">
        <f t="shared" si="8"/>
        <v>1</v>
      </c>
      <c r="G97" s="85">
        <f t="shared" si="8"/>
        <v>1</v>
      </c>
    </row>
    <row r="98" spans="1:7" ht="26.4">
      <c r="A98" s="5" t="s">
        <v>149</v>
      </c>
      <c r="B98" s="85">
        <f t="shared" ref="B98:G98" si="9">(B48+B49)/$B$53</f>
        <v>1</v>
      </c>
      <c r="C98" s="85">
        <f t="shared" si="9"/>
        <v>1</v>
      </c>
      <c r="D98" s="85">
        <f t="shared" si="9"/>
        <v>1</v>
      </c>
      <c r="E98" s="85">
        <f t="shared" si="9"/>
        <v>1</v>
      </c>
      <c r="F98" s="85">
        <f t="shared" si="9"/>
        <v>1</v>
      </c>
      <c r="G98" s="85">
        <f t="shared" si="9"/>
        <v>1</v>
      </c>
    </row>
    <row r="99" spans="1:7" ht="26.4">
      <c r="A99" s="5" t="s">
        <v>19</v>
      </c>
      <c r="B99" s="85">
        <f t="shared" ref="B99:G99" si="10">(B61+B62)/$B$66</f>
        <v>1</v>
      </c>
      <c r="C99" s="85">
        <f t="shared" si="10"/>
        <v>1</v>
      </c>
      <c r="D99" s="85">
        <f t="shared" si="10"/>
        <v>1</v>
      </c>
      <c r="E99" s="85">
        <f t="shared" si="10"/>
        <v>1</v>
      </c>
      <c r="F99" s="85">
        <f t="shared" si="10"/>
        <v>1</v>
      </c>
      <c r="G99" s="85">
        <f t="shared" si="10"/>
        <v>1</v>
      </c>
    </row>
    <row r="100" spans="1:7" ht="26.4">
      <c r="A100" s="5" t="s">
        <v>20</v>
      </c>
      <c r="B100" s="85">
        <f t="shared" ref="B100:G100" si="11">(B74+B75)/$B$79</f>
        <v>1</v>
      </c>
      <c r="C100" s="85">
        <f t="shared" si="11"/>
        <v>1</v>
      </c>
      <c r="D100" s="85">
        <f t="shared" si="11"/>
        <v>0.8571428571428571</v>
      </c>
      <c r="E100" s="85">
        <f t="shared" si="11"/>
        <v>1</v>
      </c>
      <c r="F100" s="85">
        <f t="shared" si="11"/>
        <v>1</v>
      </c>
      <c r="G100" s="85">
        <f t="shared" si="11"/>
        <v>1</v>
      </c>
    </row>
    <row r="101" spans="1:7" ht="26.4">
      <c r="A101" s="32" t="s">
        <v>168</v>
      </c>
      <c r="B101" s="85">
        <f t="shared" ref="B101:G101" si="12">(B86+B87)/B91</f>
        <v>1</v>
      </c>
      <c r="C101" s="85">
        <f t="shared" si="12"/>
        <v>1</v>
      </c>
      <c r="D101" s="85">
        <f t="shared" si="12"/>
        <v>1</v>
      </c>
      <c r="E101" s="85">
        <f t="shared" si="12"/>
        <v>1</v>
      </c>
      <c r="F101" s="85">
        <f t="shared" si="12"/>
        <v>1</v>
      </c>
      <c r="G101" s="85">
        <f t="shared" si="12"/>
        <v>1</v>
      </c>
    </row>
  </sheetData>
  <mergeCells count="8">
    <mergeCell ref="B69:G69"/>
    <mergeCell ref="B81:G81"/>
    <mergeCell ref="B94:G94"/>
    <mergeCell ref="B4:G4"/>
    <mergeCell ref="B17:G17"/>
    <mergeCell ref="B30:G30"/>
    <mergeCell ref="B43:G43"/>
    <mergeCell ref="B56:G56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L108"/>
  <sheetViews>
    <sheetView workbookViewId="0">
      <selection activeCell="B99" sqref="B99"/>
    </sheetView>
  </sheetViews>
  <sheetFormatPr baseColWidth="10" defaultColWidth="11" defaultRowHeight="14.4"/>
  <cols>
    <col min="1" max="1" width="19.33203125" customWidth="1"/>
    <col min="4" max="4" width="12.33203125" customWidth="1"/>
    <col min="5" max="5" width="21.88671875" customWidth="1"/>
    <col min="6" max="6" width="16" customWidth="1"/>
    <col min="7" max="7" width="13" customWidth="1"/>
    <col min="9" max="9" width="13.33203125" customWidth="1"/>
    <col min="11" max="11" width="14.33203125" customWidth="1"/>
  </cols>
  <sheetData>
    <row r="1" spans="1:12">
      <c r="A1" s="41" t="s">
        <v>150</v>
      </c>
    </row>
    <row r="3" spans="1:12" ht="15.75" customHeight="1">
      <c r="B3" s="182" t="s">
        <v>169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87.75" customHeight="1">
      <c r="B4" s="76" t="s">
        <v>170</v>
      </c>
      <c r="C4" s="76" t="s">
        <v>171</v>
      </c>
      <c r="D4" s="76" t="s">
        <v>172</v>
      </c>
      <c r="E4" s="76" t="s">
        <v>173</v>
      </c>
      <c r="F4" s="76" t="s">
        <v>174</v>
      </c>
      <c r="G4" s="76" t="s">
        <v>175</v>
      </c>
      <c r="H4" s="76" t="s">
        <v>176</v>
      </c>
      <c r="I4" s="76" t="s">
        <v>177</v>
      </c>
      <c r="J4" s="76" t="s">
        <v>178</v>
      </c>
      <c r="K4" s="76" t="s">
        <v>179</v>
      </c>
      <c r="L4" s="76" t="s">
        <v>180</v>
      </c>
    </row>
    <row r="5" spans="1:12">
      <c r="A5" s="32" t="s">
        <v>111</v>
      </c>
      <c r="B5" s="27">
        <f>COUNTIF(Ambulatorio!$AK$73:$AK$483,8)</f>
        <v>0</v>
      </c>
      <c r="C5" s="27">
        <f>COUNTIF(Ambulatorio!$AL$73:$AL$483,8)</f>
        <v>0</v>
      </c>
      <c r="D5" s="27">
        <f>COUNTIF(Ambulatorio!$AM$73:$AM$483,8)</f>
        <v>0</v>
      </c>
      <c r="E5" s="27">
        <f>COUNTIF(Ambulatorio!$AN$73:$AN$483,8)</f>
        <v>0</v>
      </c>
      <c r="F5" s="27">
        <f>COUNTIF(Ambulatorio!$AO$73:$AO$483,8)</f>
        <v>0</v>
      </c>
      <c r="G5" s="27">
        <f>COUNTIF(Ambulatorio!$AP$73:$AP$483,8)</f>
        <v>0</v>
      </c>
      <c r="H5" s="27">
        <f>COUNTIF(Ambulatorio!$AQ$73:$AQ$483,8)</f>
        <v>0</v>
      </c>
      <c r="I5" s="27">
        <f>COUNTIF(Ambulatorio!$AR$73:$AR$483,8)</f>
        <v>0</v>
      </c>
      <c r="J5" s="27">
        <f>COUNTIF(Ambulatorio!$AS$73:$AS$483,8)</f>
        <v>0</v>
      </c>
      <c r="K5" s="27">
        <f>COUNTIF(Ambulatorio!$AT$73:$AT$483,8)</f>
        <v>0</v>
      </c>
      <c r="L5" s="27">
        <f>COUNTIF(Ambulatorio!$AU$73:$AU$483,8)</f>
        <v>0</v>
      </c>
    </row>
    <row r="6" spans="1:12" ht="17.399999999999999" customHeight="1">
      <c r="A6" s="32" t="s">
        <v>112</v>
      </c>
      <c r="B6" s="27">
        <f>COUNTIF(Ambulatorio!$AK$73:$AK$483,7)</f>
        <v>0</v>
      </c>
      <c r="C6" s="27">
        <f>COUNTIF(Ambulatorio!$AL$73:$AL$483,7)</f>
        <v>1</v>
      </c>
      <c r="D6" s="27">
        <f>COUNTIF(Ambulatorio!$AM$73:$AM$483,7)</f>
        <v>0</v>
      </c>
      <c r="E6" s="27">
        <f>COUNTIF(Ambulatorio!$AN$73:$AN$483,7)</f>
        <v>0</v>
      </c>
      <c r="F6" s="27">
        <f>COUNTIF(Ambulatorio!$AO$73:$AO$483,7)</f>
        <v>0</v>
      </c>
      <c r="G6" s="27">
        <f>COUNTIF(Ambulatorio!$AP$73:$AP$483,7)</f>
        <v>0</v>
      </c>
      <c r="H6" s="27">
        <f>COUNTIF(Ambulatorio!$AQ$73:$AQ$483,7)</f>
        <v>0</v>
      </c>
      <c r="I6" s="27">
        <f>COUNTIF(Ambulatorio!$AR$73:$AR$483,7)</f>
        <v>0</v>
      </c>
      <c r="J6" s="27">
        <f>COUNTIF(Ambulatorio!$AS$73:$AS$483,7)</f>
        <v>0</v>
      </c>
      <c r="K6" s="27">
        <f>COUNTIF(Ambulatorio!$AT$73:$AT$483,7)</f>
        <v>0</v>
      </c>
      <c r="L6" s="27">
        <f>COUNTIF(Ambulatorio!$AU$73:$AU$483,7)</f>
        <v>0</v>
      </c>
    </row>
    <row r="7" spans="1:12">
      <c r="A7" s="87" t="s">
        <v>113</v>
      </c>
      <c r="B7" s="27">
        <f>COUNTIF(Ambulatorio!$AK$73:$AK$483,6)</f>
        <v>2</v>
      </c>
      <c r="C7" s="27">
        <f>COUNTIF(Ambulatorio!$AL$73:$AL$483,6)</f>
        <v>3</v>
      </c>
      <c r="D7" s="27">
        <f>COUNTIF(Ambulatorio!$AM$73:$AM$483,6)</f>
        <v>3</v>
      </c>
      <c r="E7" s="27">
        <f>COUNTIF(Ambulatorio!$AN$73:$AN$483,6)</f>
        <v>0</v>
      </c>
      <c r="F7" s="27">
        <f>COUNTIF(Ambulatorio!$AO$73:$AO$483,6)</f>
        <v>2</v>
      </c>
      <c r="G7" s="27">
        <f>COUNTIF(Ambulatorio!$AP$73:$AP$483,6)</f>
        <v>1</v>
      </c>
      <c r="H7" s="27">
        <f>COUNTIF(Ambulatorio!$AQ$73:$AQ$483,6)</f>
        <v>131</v>
      </c>
      <c r="I7" s="27">
        <f>COUNTIF(Ambulatorio!$AR$73:$AR$483,6)</f>
        <v>5</v>
      </c>
      <c r="J7" s="27">
        <f>COUNTIF(Ambulatorio!$AS$73:$AS$483,6)</f>
        <v>2</v>
      </c>
      <c r="K7" s="27">
        <f>COUNTIF(Ambulatorio!$AT$73:$AT$483,6)</f>
        <v>1</v>
      </c>
      <c r="L7" s="27">
        <f>COUNTIF(Ambulatorio!$AU$73:$AU$483,6)</f>
        <v>4</v>
      </c>
    </row>
    <row r="8" spans="1:12">
      <c r="A8" s="87" t="s">
        <v>114</v>
      </c>
      <c r="B8" s="27">
        <f>COUNTIF(Ambulatorio!$AK$73:$AK$483,5)</f>
        <v>279</v>
      </c>
      <c r="C8" s="27">
        <f>COUNTIF(Ambulatorio!$AL$73:$AL$483,5)</f>
        <v>288</v>
      </c>
      <c r="D8" s="27">
        <f>COUNTIF(Ambulatorio!$AM$73:$AM$483,5)</f>
        <v>287</v>
      </c>
      <c r="E8" s="27">
        <f>COUNTIF(Ambulatorio!$AN$73:$AN$483,5)</f>
        <v>288</v>
      </c>
      <c r="F8" s="27">
        <f>COUNTIF(Ambulatorio!$AO$73:$AO$483,5)</f>
        <v>288</v>
      </c>
      <c r="G8" s="27">
        <f>COUNTIF(Ambulatorio!$AP$73:$AP$483,5)</f>
        <v>288</v>
      </c>
      <c r="H8" s="27">
        <f>COUNTIF(Ambulatorio!$AQ$73:$AQ$483,5)</f>
        <v>162</v>
      </c>
      <c r="I8" s="27">
        <f>COUNTIF(Ambulatorio!$AR$73:$AR$483,5)</f>
        <v>286</v>
      </c>
      <c r="J8" s="27">
        <f>COUNTIF(Ambulatorio!$AS$73:$AS$483,5)</f>
        <v>287</v>
      </c>
      <c r="K8" s="27">
        <f>COUNTIF(Ambulatorio!$AT$73:$AT$483,5)</f>
        <v>288</v>
      </c>
      <c r="L8" s="27">
        <f>COUNTIF(Ambulatorio!$AU$73:$AU$483,5)</f>
        <v>287</v>
      </c>
    </row>
    <row r="9" spans="1:12">
      <c r="A9" s="87" t="s">
        <v>115</v>
      </c>
      <c r="B9" s="27">
        <f>COUNTIF(Ambulatorio!$AK$73:$AK$483,4)</f>
        <v>6</v>
      </c>
      <c r="C9" s="27">
        <f>COUNTIF(Ambulatorio!$AL$73:$AL$483,4)</f>
        <v>2</v>
      </c>
      <c r="D9" s="27">
        <f>COUNTIF(Ambulatorio!$AM$73:$AM$483,4)</f>
        <v>4</v>
      </c>
      <c r="E9" s="27">
        <f>COUNTIF(Ambulatorio!$AN$73:$AN$483,4)</f>
        <v>4</v>
      </c>
      <c r="F9" s="27">
        <f>COUNTIF(Ambulatorio!$AO$73:$AO$483,4)</f>
        <v>4</v>
      </c>
      <c r="G9" s="27">
        <f>COUNTIF(Ambulatorio!$AP$73:$AP$483,4)</f>
        <v>4</v>
      </c>
      <c r="H9" s="27">
        <f>COUNTIF(Ambulatorio!$AQ$73:$AQ$483,4)</f>
        <v>1</v>
      </c>
      <c r="I9" s="27">
        <f>COUNTIF(Ambulatorio!$AR$73:$AR$483,4)</f>
        <v>3</v>
      </c>
      <c r="J9" s="27">
        <f>COUNTIF(Ambulatorio!$AS$73:$AS$483,4)</f>
        <v>5</v>
      </c>
      <c r="K9" s="27">
        <f>COUNTIF(Ambulatorio!$AT$73:$AT$483,4)</f>
        <v>5</v>
      </c>
      <c r="L9" s="27">
        <f>COUNTIF(Ambulatorio!$AU$73:$AU$483,4)</f>
        <v>3</v>
      </c>
    </row>
    <row r="10" spans="1:12">
      <c r="A10" s="87" t="s">
        <v>116</v>
      </c>
      <c r="B10" s="27">
        <f>COUNTIF(Ambulatorio!$AK$73:$AK$483,3)</f>
        <v>7</v>
      </c>
      <c r="C10" s="27">
        <f>COUNTIF(Ambulatorio!$AL$73:$AL$483,3)</f>
        <v>0</v>
      </c>
      <c r="D10" s="27">
        <f>COUNTIF(Ambulatorio!$AM$73:$AM$483,3)</f>
        <v>0</v>
      </c>
      <c r="E10" s="27">
        <f>COUNTIF(Ambulatorio!$AN$73:$AN$483,3)</f>
        <v>2</v>
      </c>
      <c r="F10" s="27">
        <f>COUNTIF(Ambulatorio!$AO$73:$AO$483,3)</f>
        <v>0</v>
      </c>
      <c r="G10" s="27">
        <f>COUNTIF(Ambulatorio!$AP$73:$AP$483,3)</f>
        <v>1</v>
      </c>
      <c r="H10" s="27">
        <f>COUNTIF(Ambulatorio!$AQ$73:$AQ$483,3)</f>
        <v>0</v>
      </c>
      <c r="I10" s="27">
        <f>COUNTIF(Ambulatorio!$AR$73:$AR$483,3)</f>
        <v>0</v>
      </c>
      <c r="J10" s="27">
        <f>COUNTIF(Ambulatorio!$AS$73:$AS$483,3)</f>
        <v>0</v>
      </c>
      <c r="K10" s="27">
        <f>COUNTIF(Ambulatorio!$AT$73:$AT$483,3)</f>
        <v>0</v>
      </c>
      <c r="L10" s="27">
        <f>COUNTIF(Ambulatorio!$AU$73:$AU$483,3)</f>
        <v>0</v>
      </c>
    </row>
    <row r="11" spans="1:12">
      <c r="A11" s="87" t="s">
        <v>117</v>
      </c>
      <c r="B11" s="27">
        <f>COUNTIF(Ambulatorio!$AK$73:$AK$483,2)</f>
        <v>0</v>
      </c>
      <c r="C11" s="27">
        <f>COUNTIF(Ambulatorio!$AL$73:$AL$483,2)</f>
        <v>0</v>
      </c>
      <c r="D11" s="27">
        <f>COUNTIF(Ambulatorio!$AM$73:$AM$483,2)</f>
        <v>0</v>
      </c>
      <c r="E11" s="27">
        <f>COUNTIF(Ambulatorio!$AN$73:$AN$483,2)</f>
        <v>0</v>
      </c>
      <c r="F11" s="27">
        <f>COUNTIF(Ambulatorio!$AO$73:$AO$483,2)</f>
        <v>0</v>
      </c>
      <c r="G11" s="27">
        <f>COUNTIF(Ambulatorio!$AP$73:$AP$483,2)</f>
        <v>0</v>
      </c>
      <c r="H11" s="27">
        <f>COUNTIF(Ambulatorio!$AQ$73:$AQ$483,2)</f>
        <v>0</v>
      </c>
      <c r="I11" s="27">
        <f>COUNTIF(Ambulatorio!$AR$73:$AR$483,2)</f>
        <v>0</v>
      </c>
      <c r="J11" s="27">
        <f>COUNTIF(Ambulatorio!$AS$73:$AS$483,2)</f>
        <v>0</v>
      </c>
      <c r="K11" s="27">
        <f>COUNTIF(Ambulatorio!$AT$73:$AT$483,2)</f>
        <v>0</v>
      </c>
      <c r="L11" s="27">
        <f>COUNTIF(Ambulatorio!$AU$73:$AU$483,2)</f>
        <v>0</v>
      </c>
    </row>
    <row r="12" spans="1:12">
      <c r="A12" s="87" t="s">
        <v>118</v>
      </c>
      <c r="B12" s="27">
        <f>COUNTIF(Ambulatorio!$AK$73:$AK$483,1)</f>
        <v>0</v>
      </c>
      <c r="C12" s="27">
        <f>COUNTIF(Ambulatorio!$AL$73:$AL$483,1)</f>
        <v>0</v>
      </c>
      <c r="D12" s="27">
        <f>COUNTIF(Ambulatorio!$AM$73:$AM$483,1)</f>
        <v>0</v>
      </c>
      <c r="E12" s="27">
        <f>COUNTIF(Ambulatorio!$AN$73:$AN$483,1)</f>
        <v>0</v>
      </c>
      <c r="F12" s="27">
        <f>COUNTIF(Ambulatorio!$AO$73:$AO$483,1)</f>
        <v>0</v>
      </c>
      <c r="G12" s="27">
        <f>COUNTIF(Ambulatorio!$AP$73:$AP$483,1)</f>
        <v>0</v>
      </c>
      <c r="H12" s="27">
        <f>COUNTIF(Ambulatorio!$AQ$73:$AQ$483,1)</f>
        <v>0</v>
      </c>
      <c r="I12" s="27">
        <f>COUNTIF(Ambulatorio!$AR$73:$AR$483,1)</f>
        <v>0</v>
      </c>
      <c r="J12" s="27">
        <f>COUNTIF(Ambulatorio!$AS$73:$AS$483,1)</f>
        <v>0</v>
      </c>
      <c r="K12" s="27">
        <f>COUNTIF(Ambulatorio!$AT$73:$AT$483,1)</f>
        <v>0</v>
      </c>
      <c r="L12" s="27">
        <f>COUNTIF(Ambulatorio!$AU$73:$AU$483,1)</f>
        <v>0</v>
      </c>
    </row>
    <row r="13" spans="1:12">
      <c r="B13" s="17">
        <f t="shared" ref="B13:L13" si="0">SUM(B5:B12)</f>
        <v>294</v>
      </c>
      <c r="C13" s="17">
        <f t="shared" si="0"/>
        <v>294</v>
      </c>
      <c r="D13" s="17">
        <f t="shared" si="0"/>
        <v>294</v>
      </c>
      <c r="E13" s="17">
        <f t="shared" si="0"/>
        <v>294</v>
      </c>
      <c r="F13" s="17">
        <f t="shared" si="0"/>
        <v>294</v>
      </c>
      <c r="G13" s="17">
        <f t="shared" si="0"/>
        <v>294</v>
      </c>
      <c r="H13" s="17">
        <f t="shared" si="0"/>
        <v>294</v>
      </c>
      <c r="I13" s="17">
        <f t="shared" si="0"/>
        <v>294</v>
      </c>
      <c r="J13" s="17">
        <f t="shared" si="0"/>
        <v>294</v>
      </c>
      <c r="K13" s="17">
        <f t="shared" si="0"/>
        <v>294</v>
      </c>
      <c r="L13" s="17">
        <f t="shared" si="0"/>
        <v>294</v>
      </c>
    </row>
    <row r="16" spans="1:12" ht="15.75" customHeight="1">
      <c r="B16" s="182" t="s">
        <v>131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pans="1:12" ht="87.75" customHeight="1">
      <c r="B17" s="76" t="s">
        <v>170</v>
      </c>
      <c r="C17" s="76" t="s">
        <v>171</v>
      </c>
      <c r="D17" s="76" t="s">
        <v>172</v>
      </c>
      <c r="E17" s="76" t="s">
        <v>173</v>
      </c>
      <c r="F17" s="76" t="s">
        <v>174</v>
      </c>
      <c r="G17" s="76" t="s">
        <v>175</v>
      </c>
      <c r="H17" s="76" t="s">
        <v>176</v>
      </c>
      <c r="I17" s="76" t="s">
        <v>177</v>
      </c>
      <c r="J17" s="76" t="s">
        <v>178</v>
      </c>
      <c r="K17" s="76" t="s">
        <v>179</v>
      </c>
      <c r="L17" s="76" t="s">
        <v>180</v>
      </c>
    </row>
    <row r="18" spans="1:12">
      <c r="A18" s="32" t="s">
        <v>111</v>
      </c>
      <c r="B18" s="27">
        <f>COUNTIFS(Ambulatorio!$M$73:$M$483,"Citas Médicas- Facturación",Ambulatorio!$AK$73:$AK$483,8)</f>
        <v>0</v>
      </c>
      <c r="C18" s="27">
        <f>COUNTIFS(Ambulatorio!$M$73:$M$483,"Citas Médicas- Facturación",Ambulatorio!$AL$73:$AL$483,8)</f>
        <v>0</v>
      </c>
      <c r="D18" s="27">
        <f>COUNTIFS(Ambulatorio!$M$73:$M$483,"Citas Médicas- Facturación",Ambulatorio!$AM$73:$AM$483,8)</f>
        <v>0</v>
      </c>
      <c r="E18" s="27">
        <f>COUNTIFS(Ambulatorio!$M$73:$M$483,"Citas Médicas- Facturación",Ambulatorio!$AN$73:$AN$483,8)</f>
        <v>0</v>
      </c>
      <c r="F18" s="27">
        <f>COUNTIFS(Ambulatorio!$M$73:$M$483,"Citas Médicas- Facturación",Ambulatorio!$AO$73:$AO$483,8)</f>
        <v>0</v>
      </c>
      <c r="G18" s="27">
        <f>COUNTIFS(Ambulatorio!$M$73:$M$483,"Citas Médicas- Facturación",Ambulatorio!$AP$73:$AP$483,8)</f>
        <v>0</v>
      </c>
      <c r="H18" s="27">
        <f>COUNTIFS(Ambulatorio!$M$73:$M$483,"Citas Médicas- Facturación",Ambulatorio!$AQ$73:$AQ$483,8)</f>
        <v>0</v>
      </c>
      <c r="I18" s="27">
        <f>COUNTIFS(Ambulatorio!$M$73:$M$483,"Citas Médicas- Facturación",Ambulatorio!$AR$73:$AR$483,8)</f>
        <v>0</v>
      </c>
      <c r="J18" s="27">
        <f>COUNTIFS(Ambulatorio!$M$73:$M$483,"Citas Médicas- Facturación",Ambulatorio!$AS$73:$AS$483,8)</f>
        <v>0</v>
      </c>
      <c r="K18" s="27">
        <f>COUNTIFS(Ambulatorio!$M$73:$M$483,"Citas Médicas- Facturación",Ambulatorio!$AT$73:$AT$483,8)</f>
        <v>0</v>
      </c>
      <c r="L18" s="27">
        <f>COUNTIFS(Ambulatorio!$M$73:$M$483,"Citas Médicas- Facturación",Ambulatorio!$AU$73:$AU$483,8)</f>
        <v>0</v>
      </c>
    </row>
    <row r="19" spans="1:12" ht="17.399999999999999" customHeight="1">
      <c r="A19" s="32" t="s">
        <v>112</v>
      </c>
      <c r="B19" s="27">
        <f>COUNTIFS(Ambulatorio!$M$73:$M$483,"Citas Médicas- Facturación",Ambulatorio!$AK$73:$AK$483,7)</f>
        <v>0</v>
      </c>
      <c r="C19" s="27">
        <f>COUNTIFS(Ambulatorio!$M$73:$M$483,"Citas Médicas- Facturación",Ambulatorio!$AL$73:$AL$483,7)</f>
        <v>0</v>
      </c>
      <c r="D19" s="27">
        <f>COUNTIFS(Ambulatorio!$M$73:$M$483,"Citas Médicas- Facturación",Ambulatorio!$AM$73:$AM$483,7)</f>
        <v>0</v>
      </c>
      <c r="E19" s="27">
        <f>COUNTIFS(Ambulatorio!$M$73:$M$483,"Citas Médicas- Facturación",Ambulatorio!$AN$73:$AN$483,7)</f>
        <v>0</v>
      </c>
      <c r="F19" s="27">
        <f>COUNTIFS(Ambulatorio!$M$73:$M$483,"Citas Médicas- Facturación",Ambulatorio!$AO$73:$AO$483,7)</f>
        <v>0</v>
      </c>
      <c r="G19" s="27">
        <f>COUNTIFS(Ambulatorio!$M$73:$M$483,"Citas Médicas- Facturación",Ambulatorio!$AP$73:$AP$483,7)</f>
        <v>0</v>
      </c>
      <c r="H19" s="27">
        <f>COUNTIFS(Ambulatorio!$M$73:$M$483,"Citas Médicas- Facturación",Ambulatorio!$AQ$73:$AQ$483,7)</f>
        <v>0</v>
      </c>
      <c r="I19" s="27">
        <f>COUNTIFS(Ambulatorio!$M$73:$M$483,"Citas Médicas- Facturación",Ambulatorio!$AR$73:$AR$483,7)</f>
        <v>0</v>
      </c>
      <c r="J19" s="27">
        <f>COUNTIFS(Ambulatorio!$M$73:$M$483,"Citas Médicas- Facturación",Ambulatorio!$AS$73:$AS$483,7)</f>
        <v>0</v>
      </c>
      <c r="K19" s="27">
        <f>COUNTIFS(Ambulatorio!$M$73:$M$483,"Citas Médicas- Facturación",Ambulatorio!$AT$73:$AT$483,7)</f>
        <v>0</v>
      </c>
      <c r="L19" s="27">
        <f>COUNTIFS(Ambulatorio!$M$73:$M$483,"Citas Médicas- Facturación",Ambulatorio!$AU$73:$AU$483,7)</f>
        <v>0</v>
      </c>
    </row>
    <row r="20" spans="1:12">
      <c r="A20" s="87" t="s">
        <v>113</v>
      </c>
      <c r="B20" s="27">
        <f>COUNTIFS(Ambulatorio!$M$73:$M$483,"Citas Médicas- Facturación",Ambulatorio!$AK$73:$AK$483,6)</f>
        <v>0</v>
      </c>
      <c r="C20" s="27">
        <f>COUNTIFS(Ambulatorio!$M$73:$M$483,"Citas Médicas- Facturación",Ambulatorio!$AL$73:$AL$483,6)</f>
        <v>0</v>
      </c>
      <c r="D20" s="27">
        <f>COUNTIFS(Ambulatorio!$M$73:$M$483,"Citas Médicas- Facturación",Ambulatorio!$AM$73:$AM$483,6)</f>
        <v>0</v>
      </c>
      <c r="E20" s="27">
        <f>COUNTIFS(Ambulatorio!$M$73:$M$483,"Citas Médicas- Facturación",Ambulatorio!$AN$73:$AN$483,6)</f>
        <v>0</v>
      </c>
      <c r="F20" s="27">
        <f>COUNTIFS(Ambulatorio!$M$73:$M$483,"Citas Médicas- Facturación",Ambulatorio!$AO$73:$AO$483,6)</f>
        <v>0</v>
      </c>
      <c r="G20" s="27">
        <f>COUNTIFS(Ambulatorio!$M$73:$M$483,"Citas Médicas- Facturación",Ambulatorio!$AP$73:$AP$483,6)</f>
        <v>0</v>
      </c>
      <c r="H20" s="27">
        <f>COUNTIFS(Ambulatorio!$M$73:$M$483,"Citas Médicas- Facturación",Ambulatorio!$AQ$73:$AQ$483,6)</f>
        <v>0</v>
      </c>
      <c r="I20" s="27">
        <f>COUNTIFS(Ambulatorio!$M$73:$M$483,"Citas Médicas- Facturación",Ambulatorio!$AR$73:$AR$483,6)</f>
        <v>0</v>
      </c>
      <c r="J20" s="27">
        <f>COUNTIFS(Ambulatorio!$M$73:$M$483,"Citas Médicas- Facturación",Ambulatorio!$AS$73:$AS$483,6)</f>
        <v>0</v>
      </c>
      <c r="K20" s="27">
        <f>COUNTIFS(Ambulatorio!$M$73:$M$483,"Citas Médicas- Facturación",Ambulatorio!$AT$73:$AT$483,6)</f>
        <v>0</v>
      </c>
      <c r="L20" s="27">
        <f>COUNTIFS(Ambulatorio!$M$73:$M$483,"Citas Médicas- Facturación",Ambulatorio!$AU$73:$AU$483,6)</f>
        <v>0</v>
      </c>
    </row>
    <row r="21" spans="1:12">
      <c r="A21" s="87" t="s">
        <v>114</v>
      </c>
      <c r="B21" s="27">
        <f>COUNTIFS(Ambulatorio!$M$73:$M$483,"Citas Médicas- Facturación",Ambulatorio!$AK$73:$AK$483,5)</f>
        <v>0</v>
      </c>
      <c r="C21" s="27">
        <f>COUNTIFS(Ambulatorio!$M$73:$M$483,"Citas Médicas- Facturación",Ambulatorio!$AL$73:$AL$483,5)</f>
        <v>0</v>
      </c>
      <c r="D21" s="27">
        <f>COUNTIFS(Ambulatorio!$M$73:$M$483,"Citas Médicas- Facturación",Ambulatorio!$AM$73:$AM$483,5)</f>
        <v>0</v>
      </c>
      <c r="E21" s="27">
        <f>COUNTIFS(Ambulatorio!$M$73:$M$483,"Citas Médicas- Facturación",Ambulatorio!$AN$73:$AN$483,5)</f>
        <v>0</v>
      </c>
      <c r="F21" s="27">
        <f>COUNTIFS(Ambulatorio!$M$73:$M$483,"Citas Médicas- Facturación",Ambulatorio!$AO$73:$AO$483,5)</f>
        <v>0</v>
      </c>
      <c r="G21" s="27">
        <f>COUNTIFS(Ambulatorio!$M$73:$M$483,"Citas Médicas- Facturación",Ambulatorio!$AP$73:$AP$483,5)</f>
        <v>0</v>
      </c>
      <c r="H21" s="27">
        <f>COUNTIFS(Ambulatorio!$M$73:$M$483,"Citas Médicas- Facturación",Ambulatorio!$AQ$73:$AQ$483,5)</f>
        <v>0</v>
      </c>
      <c r="I21" s="27">
        <f>COUNTIFS(Ambulatorio!$M$73:$M$483,"Citas Médicas- Facturación",Ambulatorio!$AR$73:$AR$483,5)</f>
        <v>0</v>
      </c>
      <c r="J21" s="27">
        <f>COUNTIFS(Ambulatorio!$M$73:$M$483,"Citas Médicas- Facturación",Ambulatorio!$AS$73:$AS$483,5)</f>
        <v>0</v>
      </c>
      <c r="K21" s="27">
        <f>COUNTIFS(Ambulatorio!$M$73:$M$483,"Citas Médicas- Facturación",Ambulatorio!$AT$73:$AT$483,5)</f>
        <v>0</v>
      </c>
      <c r="L21" s="27">
        <f>COUNTIFS(Ambulatorio!$M$73:$M$483,"Citas Médicas- Facturación",Ambulatorio!$AU$73:$AU$483,5)</f>
        <v>0</v>
      </c>
    </row>
    <row r="22" spans="1:12">
      <c r="A22" s="87" t="s">
        <v>115</v>
      </c>
      <c r="B22" s="27">
        <f>COUNTIFS(Ambulatorio!$M$73:$M$483,"Citas Médicas- Facturación",Ambulatorio!$AK$73:$AK$483,4)</f>
        <v>0</v>
      </c>
      <c r="C22" s="27">
        <f>COUNTIFS(Ambulatorio!$M$73:$M$483,"Citas Médicas- Facturación",Ambulatorio!$AL$73:$AL$483,4)</f>
        <v>0</v>
      </c>
      <c r="D22" s="27">
        <f>COUNTIFS(Ambulatorio!$M$73:$M$483,"Citas Médicas- Facturación",Ambulatorio!$AM$73:$AM$483,4)</f>
        <v>0</v>
      </c>
      <c r="E22" s="27">
        <f>COUNTIFS(Ambulatorio!$M$73:$M$483,"Citas Médicas- Facturación",Ambulatorio!$AN$73:$AN$483,4)</f>
        <v>0</v>
      </c>
      <c r="F22" s="27">
        <f>COUNTIFS(Ambulatorio!$M$73:$M$483,"Citas Médicas- Facturación",Ambulatorio!$AO$73:$AO$483,4)</f>
        <v>0</v>
      </c>
      <c r="G22" s="27">
        <f>COUNTIFS(Ambulatorio!$M$73:$M$483,"Citas Médicas- Facturación",Ambulatorio!$AP$73:$AP$483,4)</f>
        <v>0</v>
      </c>
      <c r="H22" s="27">
        <f>COUNTIFS(Ambulatorio!$M$73:$M$483,"Citas Médicas- Facturación",Ambulatorio!$AQ$73:$AQ$483,4)</f>
        <v>0</v>
      </c>
      <c r="I22" s="27">
        <f>COUNTIFS(Ambulatorio!$M$73:$M$483,"Citas Médicas- Facturación",Ambulatorio!$AR$73:$AR$483,4)</f>
        <v>0</v>
      </c>
      <c r="J22" s="27">
        <f>COUNTIFS(Ambulatorio!$M$73:$M$483,"Citas Médicas- Facturación",Ambulatorio!$AS$73:$AS$483,4)</f>
        <v>0</v>
      </c>
      <c r="K22" s="27">
        <f>COUNTIFS(Ambulatorio!$M$73:$M$483,"Citas Médicas- Facturación",Ambulatorio!$AT$73:$AT$483,4)</f>
        <v>0</v>
      </c>
      <c r="L22" s="27">
        <f>COUNTIFS(Ambulatorio!$M$73:$M$483,"Citas Médicas- Facturación",Ambulatorio!$AU$73:$AU$483,4)</f>
        <v>0</v>
      </c>
    </row>
    <row r="23" spans="1:12">
      <c r="A23" s="87" t="s">
        <v>116</v>
      </c>
      <c r="B23" s="27">
        <f>COUNTIFS(Ambulatorio!$M$73:$M$483,"Citas Médicas- Facturación",Ambulatorio!$AK$73:$AK$483,3)</f>
        <v>0</v>
      </c>
      <c r="C23" s="27">
        <f>COUNTIFS(Ambulatorio!$M$73:$M$483,"Citas Médicas- Facturación",Ambulatorio!$AL$73:$AL$483,3)</f>
        <v>0</v>
      </c>
      <c r="D23" s="27">
        <f>COUNTIFS(Ambulatorio!$M$73:$M$483,"Citas Médicas- Facturación",Ambulatorio!$AM$73:$AM$483,3)</f>
        <v>0</v>
      </c>
      <c r="E23" s="27">
        <f>COUNTIFS(Ambulatorio!$M$73:$M$483,"Citas Médicas- Facturación",Ambulatorio!$AN$73:$AN$483,3)</f>
        <v>0</v>
      </c>
      <c r="F23" s="27">
        <f>COUNTIFS(Ambulatorio!$M$73:$M$483,"Citas Médicas- Facturación",Ambulatorio!$AO$73:$AO$483,3)</f>
        <v>0</v>
      </c>
      <c r="G23" s="27">
        <f>COUNTIFS(Ambulatorio!$M$73:$M$483,"Citas Médicas- Facturación",Ambulatorio!$AP$73:$AP$483,3)</f>
        <v>0</v>
      </c>
      <c r="H23" s="27">
        <f>COUNTIFS(Ambulatorio!$M$73:$M$483,"Citas Médicas- Facturación",Ambulatorio!$AQ$73:$AQ$483,2)</f>
        <v>0</v>
      </c>
      <c r="I23" s="27">
        <f>COUNTIFS(Ambulatorio!$M$73:$M$483,"Citas Médicas- Facturación",Ambulatorio!$AR$73:$AR$483,3)</f>
        <v>0</v>
      </c>
      <c r="J23" s="27">
        <f>COUNTIFS(Ambulatorio!$M$73:$M$483,"Citas Médicas- Facturación",Ambulatorio!$AS$73:$AS$483,3)</f>
        <v>0</v>
      </c>
      <c r="K23" s="27">
        <f>COUNTIFS(Ambulatorio!$M$73:$M$483,"Citas Médicas- Facturación",Ambulatorio!$AT$73:$AT$483,3)</f>
        <v>0</v>
      </c>
      <c r="L23" s="27">
        <f>COUNTIFS(Ambulatorio!$M$73:$M$483,"Citas Médicas- Facturación",Ambulatorio!$AU$73:$AU$483,3)</f>
        <v>0</v>
      </c>
    </row>
    <row r="24" spans="1:12">
      <c r="A24" s="87" t="s">
        <v>117</v>
      </c>
      <c r="B24" s="27">
        <f>COUNTIFS(Ambulatorio!$M$73:$M$483,"Citas Médicas- Facturación",Ambulatorio!$AK$73:$AK$483,2)</f>
        <v>0</v>
      </c>
      <c r="C24" s="27">
        <f>COUNTIFS(Ambulatorio!$M$73:$M$483,"Citas Médicas- Facturación",Ambulatorio!$AL$73:$AL$483,2)</f>
        <v>0</v>
      </c>
      <c r="D24" s="27">
        <f>COUNTIFS(Ambulatorio!$M$73:$M$483,"Citas Médicas- Facturación",Ambulatorio!$AM$73:$AM$483,2)</f>
        <v>0</v>
      </c>
      <c r="E24" s="27">
        <f>COUNTIFS(Ambulatorio!$M$73:$M$483,"Citas Médicas- Facturación",Ambulatorio!$AN$73:$AN$483,2)</f>
        <v>0</v>
      </c>
      <c r="F24" s="27">
        <f>COUNTIFS(Ambulatorio!$M$73:$M$483,"Citas Médicas- Facturación",Ambulatorio!$AO$73:$AO$483,2)</f>
        <v>0</v>
      </c>
      <c r="G24" s="27">
        <f>COUNTIFS(Ambulatorio!$M$73:$M$483,"Citas Médicas- Facturación",Ambulatorio!$AP$73:$AP$483,2)</f>
        <v>0</v>
      </c>
      <c r="H24" s="27">
        <f>COUNTIFS(Ambulatorio!$M$73:$M$483,"Citas Médicas- Facturación",Ambulatorio!$AQ$73:$AQ$483,2)</f>
        <v>0</v>
      </c>
      <c r="I24" s="27">
        <f>COUNTIFS(Ambulatorio!$M$73:$M$483,"Citas Médicas- Facturación",Ambulatorio!$AR$73:$AR$483,2)</f>
        <v>0</v>
      </c>
      <c r="J24" s="27">
        <f>COUNTIFS(Ambulatorio!$M$73:$M$483,"Citas Médicas- Facturación",Ambulatorio!$AS$73:$AS$483,2)</f>
        <v>0</v>
      </c>
      <c r="K24" s="27">
        <f>COUNTIFS(Ambulatorio!$M$73:$M$483,"Citas Médicas- Facturación",Ambulatorio!$AT$73:$AT$483,2)</f>
        <v>0</v>
      </c>
      <c r="L24" s="27">
        <f>COUNTIFS(Ambulatorio!$M$73:$M$483,"Citas Médicas- Facturación",Ambulatorio!$AU$73:$AU$483,2)</f>
        <v>0</v>
      </c>
    </row>
    <row r="25" spans="1:12">
      <c r="A25" s="87" t="s">
        <v>118</v>
      </c>
      <c r="B25" s="27">
        <f>COUNTIFS(Ambulatorio!$M$73:$M$483,"Citas Médicas- Facturación",Ambulatorio!$AK$73:$AK$483,1)</f>
        <v>0</v>
      </c>
      <c r="C25" s="27">
        <f>COUNTIFS(Ambulatorio!$M$73:$M$483,"Citas Médicas- Facturación",Ambulatorio!$AL$73:$AL$483,1)</f>
        <v>0</v>
      </c>
      <c r="D25" s="27">
        <f>COUNTIFS(Ambulatorio!$M$73:$M$483,"Citas Médicas- Facturación",Ambulatorio!$AM$73:$AM$483,1)</f>
        <v>0</v>
      </c>
      <c r="E25" s="27">
        <f>COUNTIFS(Ambulatorio!$M$73:$M$483,"Citas Médicas- Facturación",Ambulatorio!$AN$73:$AN$483,1)</f>
        <v>0</v>
      </c>
      <c r="F25" s="27">
        <f>COUNTIFS(Ambulatorio!$M$73:$M$483,"Citas Médicas- Facturación",Ambulatorio!$AO$73:$AO$483,1)</f>
        <v>0</v>
      </c>
      <c r="G25" s="27">
        <f>COUNTIFS(Ambulatorio!$M$73:$M$483,"Citas Médicas- Facturación",Ambulatorio!$AP$73:$AP$483,1)</f>
        <v>0</v>
      </c>
      <c r="H25" s="27">
        <f>COUNTIFS(Ambulatorio!$M$73:$M$483,"Citas Médicas- Facturación",Ambulatorio!$AQ$73:$AQ$483,1)</f>
        <v>0</v>
      </c>
      <c r="I25" s="27">
        <f>COUNTIFS(Ambulatorio!$M$73:$M$483,"Citas Médicas- Facturación",Ambulatorio!$AR$73:$AR$483,1)</f>
        <v>0</v>
      </c>
      <c r="J25" s="27">
        <f>COUNTIFS(Ambulatorio!$M$73:$M$483,"Citas Médicas- Facturación",Ambulatorio!$AS$73:$AS$483,1)</f>
        <v>0</v>
      </c>
      <c r="K25" s="27">
        <f>COUNTIFS(Ambulatorio!$M$73:$M$483,"Citas Médicas- Facturación",Ambulatorio!$AT$73:$AT$483,1)</f>
        <v>0</v>
      </c>
      <c r="L25" s="27">
        <f>COUNTIFS(Ambulatorio!$M$73:$M$483,"Citas Médicas- Facturación",Ambulatorio!$AU$73:$AU$483,1)</f>
        <v>0</v>
      </c>
    </row>
    <row r="26" spans="1:12">
      <c r="B26" s="17">
        <f>SUM(B18:B25)</f>
        <v>0</v>
      </c>
      <c r="C26" s="17">
        <f t="shared" ref="C26:L26" si="1">SUM(C18:C25)</f>
        <v>0</v>
      </c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17">
        <f t="shared" si="1"/>
        <v>0</v>
      </c>
      <c r="I26" s="17">
        <f t="shared" si="1"/>
        <v>0</v>
      </c>
      <c r="J26" s="17">
        <f t="shared" si="1"/>
        <v>0</v>
      </c>
      <c r="K26" s="17">
        <f t="shared" si="1"/>
        <v>0</v>
      </c>
      <c r="L26" s="17">
        <f t="shared" si="1"/>
        <v>0</v>
      </c>
    </row>
    <row r="30" spans="1:12" ht="15" customHeight="1">
      <c r="B30" s="209" t="s">
        <v>139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1"/>
    </row>
    <row r="31" spans="1:12" ht="92.4">
      <c r="B31" s="76" t="s">
        <v>170</v>
      </c>
      <c r="C31" s="76" t="s">
        <v>171</v>
      </c>
      <c r="D31" s="76" t="s">
        <v>172</v>
      </c>
      <c r="E31" s="76" t="s">
        <v>173</v>
      </c>
      <c r="F31" s="76" t="s">
        <v>174</v>
      </c>
      <c r="G31" s="76" t="s">
        <v>175</v>
      </c>
      <c r="H31" s="76" t="s">
        <v>176</v>
      </c>
      <c r="I31" s="76" t="s">
        <v>177</v>
      </c>
      <c r="J31" s="76" t="s">
        <v>178</v>
      </c>
      <c r="K31" s="76" t="s">
        <v>179</v>
      </c>
      <c r="L31" s="76" t="s">
        <v>180</v>
      </c>
    </row>
    <row r="32" spans="1:12">
      <c r="A32" s="32" t="s">
        <v>111</v>
      </c>
      <c r="B32" s="27">
        <f>COUNTIFS(Ambulatorio!$M$73:$M$483,"Ayudas Diagnósticas Laboratorio y Patología",Ambulatorio!$AK$73:$AK$483,8)</f>
        <v>0</v>
      </c>
      <c r="C32" s="27">
        <f>COUNTIFS(Ambulatorio!$M$73:$M$483,"Ayudas Diagnósticas Laboratorio y Patología",Ambulatorio!$AL$73:$AL$483,8)</f>
        <v>0</v>
      </c>
      <c r="D32" s="27">
        <f>COUNTIFS(Ambulatorio!$M$73:$M$483,"Ayudas Diagnósticas Laboratorio y Patología",Ambulatorio!$AM$73:$AM$483,8)</f>
        <v>0</v>
      </c>
      <c r="E32" s="27">
        <f>COUNTIFS(Ambulatorio!$M$73:$M$483,"Ayudas Diagnósticas Laboratorio y Patología",Ambulatorio!$AN$73:$AN$483,8)</f>
        <v>0</v>
      </c>
      <c r="F32" s="27">
        <f>COUNTIFS(Ambulatorio!$M$73:$M$483,"Ayudas Diagnósticas Laboratorio y Patología",Ambulatorio!$AO$73:$AO$483,8)</f>
        <v>0</v>
      </c>
      <c r="G32" s="27">
        <f>COUNTIFS(Ambulatorio!$M$73:$M$483,"Ayudas Diagnósticas Laboratorio y Patología",Ambulatorio!$AP$73:$AP$483,8)</f>
        <v>0</v>
      </c>
      <c r="H32" s="27">
        <f>COUNTIFS(Ambulatorio!$M$73:$M$483,"Ayudas Diagnósticas Laboratorio y Patología",Ambulatorio!$AQ$73:$AQ$483,8)</f>
        <v>0</v>
      </c>
      <c r="I32" s="27">
        <f>COUNTIFS(Ambulatorio!$M$73:$M$483,"Ayudas Diagnósticas Laboratorio y Patología",Ambulatorio!$AR$73:$AR$483,8)</f>
        <v>0</v>
      </c>
      <c r="J32" s="27">
        <f>COUNTIFS(Ambulatorio!$M$73:$M$483,"Ayudas Diagnósticas Laboratorio y Patología",Ambulatorio!$AS$73:$AS$483,8)</f>
        <v>0</v>
      </c>
      <c r="K32" s="27">
        <f>COUNTIFS(Ambulatorio!$M$73:$M$483,"Ayudas Diagnósticas Laboratorio y Patología",Ambulatorio!$AT$73:$AT$483,8)</f>
        <v>0</v>
      </c>
      <c r="L32" s="27">
        <f>COUNTIFS(Ambulatorio!$M$73:$M$483,"Ayudas Diagnósticas Laboratorio y Patología",Ambulatorio!$AU$73:$AU$483,8)</f>
        <v>0</v>
      </c>
    </row>
    <row r="33" spans="1:12">
      <c r="A33" s="32" t="s">
        <v>112</v>
      </c>
      <c r="B33" s="27">
        <f>COUNTIFS(Ambulatorio!$M$73:$M$483,"Ayudas Diagnósticas Laboratorio y Patología",Ambulatorio!$AK$73:$AK$483,7)</f>
        <v>0</v>
      </c>
      <c r="C33" s="27">
        <f>COUNTIFS(Ambulatorio!$M$73:$M$483,"Ayudas Diagnósticas Laboratorio y Patología",Ambulatorio!$AL$73:$AL$483,7)</f>
        <v>0</v>
      </c>
      <c r="D33" s="27">
        <f>COUNTIFS(Ambulatorio!$M$73:$M$483,"Ayudas Diagnósticas Laboratorio y Patología",Ambulatorio!$AM$73:$AM$483,7)</f>
        <v>0</v>
      </c>
      <c r="E33" s="27">
        <f>COUNTIFS(Ambulatorio!$M$73:$M$483,"Ayudas Diagnósticas Laboratorio y Patología",Ambulatorio!$AN$73:$AN$483,7)</f>
        <v>0</v>
      </c>
      <c r="F33" s="27">
        <f>COUNTIFS(Ambulatorio!$M$73:$M$483,"Ayudas Diagnósticas Laboratorio y Patología",Ambulatorio!$AO$73:$AO$483,7)</f>
        <v>0</v>
      </c>
      <c r="G33" s="27">
        <f>COUNTIFS(Ambulatorio!$M$73:$M$483,"Ayudas Diagnósticas Laboratorio y Patología",Ambulatorio!$AP$73:$AP$483,7)</f>
        <v>0</v>
      </c>
      <c r="H33" s="27">
        <f>COUNTIFS(Ambulatorio!$M$73:$M$483,"Ayudas Diagnósticas Laboratorio y Patología",Ambulatorio!$AQ$73:$AQ$483,7)</f>
        <v>0</v>
      </c>
      <c r="I33" s="27">
        <f>COUNTIFS(Ambulatorio!$M$73:$M$483,"Ayudas Diagnósticas Laboratorio y Patología",Ambulatorio!$AR$73:$AR$483,7)</f>
        <v>0</v>
      </c>
      <c r="J33" s="27">
        <f>COUNTIFS(Ambulatorio!$M$73:$M$483,"Ayudas Diagnósticas Laboratorio y Patología",Ambulatorio!$AS$73:$AS$483,7)</f>
        <v>0</v>
      </c>
      <c r="K33" s="27">
        <f>COUNTIFS(Ambulatorio!$M$73:$M$483,"Ayudas Diagnósticas Laboratorio y Patología",Ambulatorio!$AT$73:$AT$483,7)</f>
        <v>0</v>
      </c>
      <c r="L33" s="27">
        <f>COUNTIFS(Ambulatorio!$M$73:$M$483,"Ayudas Diagnósticas Laboratorio y Patología",Ambulatorio!$AU$73:$AU$483,7)</f>
        <v>0</v>
      </c>
    </row>
    <row r="34" spans="1:12">
      <c r="A34" s="87" t="s">
        <v>113</v>
      </c>
      <c r="B34" s="27">
        <f>COUNTIFS(Ambulatorio!$M$73:$M$483,"Ayudas Diagnósticas Laboratorio y Patología",Ambulatorio!$AK$73:$AK$483,6)</f>
        <v>0</v>
      </c>
      <c r="C34" s="27">
        <f>COUNTIFS(Ambulatorio!$M$73:$M$483,"Ayudas Diagnósticas Laboratorio y Patología",Ambulatorio!$AL$73:$AL$483,6)</f>
        <v>0</v>
      </c>
      <c r="D34" s="27">
        <f>COUNTIFS(Ambulatorio!$M$73:$M$483,"Ayudas Diagnósticas Laboratorio y Patología",Ambulatorio!$AM$73:$AM$483,6)</f>
        <v>0</v>
      </c>
      <c r="E34" s="27">
        <f>COUNTIFS(Ambulatorio!$M$73:$M$483,"Ayudas Diagnósticas Laboratorio y Patología",Ambulatorio!$AN$73:$AN$483,6)</f>
        <v>0</v>
      </c>
      <c r="F34" s="27">
        <f>COUNTIFS(Ambulatorio!$M$73:$M$483,"Ayudas Diagnósticas Laboratorio y Patología",Ambulatorio!$AO$73:$AO$483,6)</f>
        <v>0</v>
      </c>
      <c r="G34" s="27">
        <f>COUNTIFS(Ambulatorio!$M$73:$M$483,"Ayudas Diagnósticas Laboratorio y Patología",Ambulatorio!$AP$73:$AP$483,6)</f>
        <v>0</v>
      </c>
      <c r="H34" s="27">
        <f>COUNTIFS(Ambulatorio!$M$73:$M$483,"Ayudas Diagnósticas Laboratorio y Patología",Ambulatorio!$AQ$73:$AQ$483,6)</f>
        <v>0</v>
      </c>
      <c r="I34" s="27">
        <f>COUNTIFS(Ambulatorio!$M$73:$M$483,"Ayudas Diagnósticas Laboratorio y Patología",Ambulatorio!$AR$73:$AR$483,6)</f>
        <v>0</v>
      </c>
      <c r="J34" s="27">
        <f>COUNTIFS(Ambulatorio!$M$73:$M$483,"Ayudas Diagnósticas Laboratorio y Patología",Ambulatorio!$AS$73:$AS$483,6)</f>
        <v>0</v>
      </c>
      <c r="K34" s="27">
        <f>COUNTIFS(Ambulatorio!$M$73:$M$483,"Ayudas Diagnósticas Laboratorio y Patología",Ambulatorio!$AT$73:$AT$483,6)</f>
        <v>0</v>
      </c>
      <c r="L34" s="27">
        <f>COUNTIFS(Ambulatorio!$M$73:$M$483,"Ayudas Diagnósticas Laboratorio y Patología",Ambulatorio!$AU$73:$AU$483,6)</f>
        <v>0</v>
      </c>
    </row>
    <row r="35" spans="1:12">
      <c r="A35" s="87" t="s">
        <v>114</v>
      </c>
      <c r="B35" s="27">
        <f>COUNTIFS(Ambulatorio!$M$73:$M$483,"Ayudas Diagnósticas Laboratorio y Patología",Ambulatorio!$AK$73:$AK$483,5)</f>
        <v>20</v>
      </c>
      <c r="C35" s="27">
        <f>COUNTIFS(Ambulatorio!$M$73:$M$483,"Ayudas Diagnósticas Laboratorio y Patología",Ambulatorio!$AL$73:$AL$483,5)</f>
        <v>20</v>
      </c>
      <c r="D35" s="27">
        <f>COUNTIFS(Ambulatorio!$M$73:$M$483,"Ayudas Diagnósticas Laboratorio y Patología",Ambulatorio!$AM$73:$AM$483,5)</f>
        <v>20</v>
      </c>
      <c r="E35" s="27">
        <f>COUNTIFS(Ambulatorio!$M$73:$M$483,"Ayudas Diagnósticas Laboratorio y Patología",Ambulatorio!$AN$73:$AN$483,5)</f>
        <v>20</v>
      </c>
      <c r="F35" s="27">
        <f>COUNTIFS(Ambulatorio!$M$73:$M$483,"Ayudas Diagnósticas Laboratorio y Patología",Ambulatorio!$AO$73:$AO$483,5)</f>
        <v>20</v>
      </c>
      <c r="G35" s="27">
        <f>COUNTIFS(Ambulatorio!$M$73:$M$483,"Ayudas Diagnósticas Laboratorio y Patología",Ambulatorio!$AP$73:$AP$483,5)</f>
        <v>20</v>
      </c>
      <c r="H35" s="27">
        <f>COUNTIFS(Ambulatorio!$M$73:$M$483,"Ayudas Diagnósticas Laboratorio y Patología",Ambulatorio!$AQ$73:$AQ$483,5)</f>
        <v>20</v>
      </c>
      <c r="I35" s="27">
        <f>COUNTIFS(Ambulatorio!$M$73:$M$483,"Ayudas Diagnósticas Laboratorio y Patología",Ambulatorio!$AR$73:$AR$483,5)</f>
        <v>20</v>
      </c>
      <c r="J35" s="27">
        <f>COUNTIFS(Ambulatorio!$M$73:$M$483,"Ayudas Diagnósticas Laboratorio y Patología",Ambulatorio!$AS$73:$AS$483,5)</f>
        <v>20</v>
      </c>
      <c r="K35" s="27">
        <f>COUNTIFS(Ambulatorio!$M$73:$M$483,"Ayudas Diagnósticas Laboratorio y Patología",Ambulatorio!$AT$73:$AT$483,5)</f>
        <v>20</v>
      </c>
      <c r="L35" s="27">
        <f>COUNTIFS(Ambulatorio!$M$73:$M$483,"Ayudas Diagnósticas Laboratorio y Patología",Ambulatorio!$AU$73:$AU$483,5)</f>
        <v>20</v>
      </c>
    </row>
    <row r="36" spans="1:12">
      <c r="A36" s="87" t="s">
        <v>115</v>
      </c>
      <c r="B36" s="27">
        <f>COUNTIFS(Ambulatorio!$M$73:$M$483,"Ayudas Diagnósticas Laboratorio y Patología",Ambulatorio!$AK$73:$AK$483,4)</f>
        <v>0</v>
      </c>
      <c r="C36" s="27">
        <f>COUNTIFS(Ambulatorio!$M$73:$M$483,"Ayudas Diagnósticas Laboratorio y Patología",Ambulatorio!$AL$73:$AL$483,4)</f>
        <v>0</v>
      </c>
      <c r="D36" s="27">
        <f>COUNTIFS(Ambulatorio!$M$73:$M$483,"Ayudas Diagnósticas Laboratorio y Patología",Ambulatorio!$AM$73:$AM$483,4)</f>
        <v>0</v>
      </c>
      <c r="E36" s="27">
        <f>COUNTIFS(Ambulatorio!$M$73:$M$483,"Ayudas Diagnósticas Laboratorio y Patología",Ambulatorio!$AN$73:$AN$483,4)</f>
        <v>0</v>
      </c>
      <c r="F36" s="27">
        <f>COUNTIFS(Ambulatorio!$M$73:$M$483,"Ayudas Diagnósticas Laboratorio y Patología",Ambulatorio!$AO$73:$AO$483,4)</f>
        <v>0</v>
      </c>
      <c r="G36" s="27">
        <f>COUNTIFS(Ambulatorio!$M$73:$M$483,"Ayudas Diagnósticas Laboratorio y Patología",Ambulatorio!$AP$73:$AP$483,4)</f>
        <v>0</v>
      </c>
      <c r="H36" s="27">
        <f>COUNTIFS(Ambulatorio!$M$73:$M$483,"Ayudas Diagnósticas Laboratorio y Patología",Ambulatorio!$AQ$73:$AQ$483,4)</f>
        <v>0</v>
      </c>
      <c r="I36" s="27">
        <f>COUNTIFS(Ambulatorio!$M$73:$M$483,"Ayudas Diagnósticas Laboratorio y Patología",Ambulatorio!$AR$73:$AR$483,4)</f>
        <v>0</v>
      </c>
      <c r="J36" s="27">
        <f>COUNTIFS(Ambulatorio!$M$73:$M$483,"Ayudas Diagnósticas Laboratorio y Patología",Ambulatorio!$AS$73:$AS$483,4)</f>
        <v>0</v>
      </c>
      <c r="K36" s="27">
        <f>COUNTIFS(Ambulatorio!$M$73:$M$483,"Ayudas Diagnósticas Laboratorio y Patología",Ambulatorio!$AT$73:$AT$483,4)</f>
        <v>0</v>
      </c>
      <c r="L36" s="27">
        <f>COUNTIFS(Ambulatorio!$M$73:$M$483,"Ayudas Diagnósticas Laboratorio y Patología",Ambulatorio!$AU$73:$AU$483,4)</f>
        <v>0</v>
      </c>
    </row>
    <row r="37" spans="1:12">
      <c r="A37" s="87" t="s">
        <v>116</v>
      </c>
      <c r="B37" s="27">
        <f>COUNTIFS(Ambulatorio!$M$73:$M$483,"Ayudas Diagnósticas Laboratorio y Patología",Ambulatorio!$AK$73:$AK$483,3)</f>
        <v>0</v>
      </c>
      <c r="C37" s="27">
        <f>COUNTIFS(Ambulatorio!$M$73:$M$483,"Ayudas Diagnósticas Laboratorio y Patología",Ambulatorio!$AL$73:$AL$483,3)</f>
        <v>0</v>
      </c>
      <c r="D37" s="27">
        <f>COUNTIFS(Ambulatorio!$M$73:$M$483,"Ayudas Diagnósticas Laboratorio y Patología",Ambulatorio!$AM$73:$AM$483,3)</f>
        <v>0</v>
      </c>
      <c r="E37" s="27">
        <f>COUNTIFS(Ambulatorio!$M$73:$M$483,"Ayudas Diagnósticas Laboratorio y Patología",Ambulatorio!$AN$73:$AN$483,3)</f>
        <v>0</v>
      </c>
      <c r="F37" s="27">
        <f>COUNTIFS(Ambulatorio!$M$73:$M$483,"Ayudas Diagnósticas Laboratorio y Patología",Ambulatorio!$AO$73:$AO$483,3)</f>
        <v>0</v>
      </c>
      <c r="G37" s="27">
        <f>COUNTIFS(Ambulatorio!$M$73:$M$483,"Ayudas Diagnósticas Laboratorio y Patología",Ambulatorio!$AP$73:$AP$483,3)</f>
        <v>0</v>
      </c>
      <c r="H37" s="27">
        <f>COUNTIFS(Ambulatorio!$M$73:$M$483,"Ayudas Diagnósticas Laboratorio y Patología",Ambulatorio!$AQ$73:$AQ$483,2)</f>
        <v>0</v>
      </c>
      <c r="I37" s="27">
        <f>COUNTIFS(Ambulatorio!$M$73:$M$483,"Ayudas Diagnósticas Laboratorio y Patología",Ambulatorio!$AR$73:$AR$483,3)</f>
        <v>0</v>
      </c>
      <c r="J37" s="27">
        <f>COUNTIFS(Ambulatorio!$M$73:$M$483,"Ayudas Diagnósticas Laboratorio y Patología",Ambulatorio!$AS$73:$AS$483,3)</f>
        <v>0</v>
      </c>
      <c r="K37" s="27">
        <f>COUNTIFS(Ambulatorio!$M$73:$M$483,"Ayudas Diagnósticas Laboratorio y Patología",Ambulatorio!$AT$73:$AT$483,3)</f>
        <v>0</v>
      </c>
      <c r="L37" s="27">
        <f>COUNTIFS(Ambulatorio!$M$73:$M$483,"Ayudas Diagnósticas Laboratorio y Patología",Ambulatorio!$AU$73:$AU$483,3)</f>
        <v>0</v>
      </c>
    </row>
    <row r="38" spans="1:12">
      <c r="A38" s="87" t="s">
        <v>117</v>
      </c>
      <c r="B38" s="27">
        <f>COUNTIFS(Ambulatorio!$M$73:$M$483,"Ayudas Diagnósticas Laboratorio y Patología",Ambulatorio!$AK$73:$AK$483,2)</f>
        <v>0</v>
      </c>
      <c r="C38" s="27">
        <f>COUNTIFS(Ambulatorio!$M$73:$M$483,"Ayudas Diagnósticas Laboratorio y Patología",Ambulatorio!$AL$73:$AL$483,2)</f>
        <v>0</v>
      </c>
      <c r="D38" s="27">
        <f>COUNTIFS(Ambulatorio!$M$73:$M$483,"Ayudas Diagnósticas Laboratorio y Patología",Ambulatorio!$AM$73:$AM$483,2)</f>
        <v>0</v>
      </c>
      <c r="E38" s="27">
        <f>COUNTIFS(Ambulatorio!$M$73:$M$483,"Ayudas Diagnósticas Laboratorio y Patología",Ambulatorio!$AN$73:$AN$483,2)</f>
        <v>0</v>
      </c>
      <c r="F38" s="27">
        <f>COUNTIFS(Ambulatorio!$M$73:$M$483,"Ayudas Diagnósticas Laboratorio y Patología",Ambulatorio!$AO$73:$AO$483,2)</f>
        <v>0</v>
      </c>
      <c r="G38" s="27">
        <f>COUNTIFS(Ambulatorio!$M$73:$M$483,"Ayudas Diagnósticas Laboratorio y Patología",Ambulatorio!$AP$73:$AP$483,2)</f>
        <v>0</v>
      </c>
      <c r="H38" s="27">
        <f>COUNTIFS(Ambulatorio!$M$73:$M$483,"Ayudas Diagnósticas Laboratorio y Patología",Ambulatorio!$AQ$73:$AQ$483,2)</f>
        <v>0</v>
      </c>
      <c r="I38" s="27">
        <f>COUNTIFS(Ambulatorio!$M$73:$M$483,"Ayudas Diagnósticas Laboratorio y Patología",Ambulatorio!$AR$73:$AR$483,2)</f>
        <v>0</v>
      </c>
      <c r="J38" s="27">
        <f>COUNTIFS(Ambulatorio!$M$73:$M$483,"Ayudas Diagnósticas Laboratorio y Patología",Ambulatorio!$AS$73:$AS$483,2)</f>
        <v>0</v>
      </c>
      <c r="K38" s="27">
        <f>COUNTIFS(Ambulatorio!$M$73:$M$483,"Ayudas Diagnósticas Laboratorio y Patología",Ambulatorio!$AT$73:$AT$483,2)</f>
        <v>0</v>
      </c>
      <c r="L38" s="27">
        <f>COUNTIFS(Ambulatorio!$M$73:$M$483,"Ayudas Diagnósticas Laboratorio y Patología",Ambulatorio!$AU$73:$AU$483,2)</f>
        <v>0</v>
      </c>
    </row>
    <row r="39" spans="1:12">
      <c r="A39" s="87" t="s">
        <v>118</v>
      </c>
      <c r="B39" s="27">
        <f>COUNTIFS(Ambulatorio!$M$73:$M$483,"Ayudas Diagnósticas Laboratorio y Patología",Ambulatorio!$AK$73:$AK$483,1)</f>
        <v>0</v>
      </c>
      <c r="C39" s="27">
        <f>COUNTIFS(Ambulatorio!$M$73:$M$483,"Ayudas Diagnósticas Laboratorio y Patología",Ambulatorio!$AL$73:$AL$483,1)</f>
        <v>0</v>
      </c>
      <c r="D39" s="27">
        <f>COUNTIFS(Ambulatorio!$M$73:$M$483,"Ayudas Diagnósticas Laboratorio y Patología",Ambulatorio!$AM$73:$AM$483,1)</f>
        <v>0</v>
      </c>
      <c r="E39" s="27">
        <f>COUNTIFS(Ambulatorio!$M$73:$M$483,"Ayudas Diagnósticas Laboratorio y Patología",Ambulatorio!$AN$73:$AN$483,1)</f>
        <v>0</v>
      </c>
      <c r="F39" s="27">
        <f>COUNTIFS(Ambulatorio!$M$73:$M$483,"Ayudas Diagnósticas Laboratorio y Patología",Ambulatorio!$AO$73:$AO$483,1)</f>
        <v>0</v>
      </c>
      <c r="G39" s="27">
        <f>COUNTIFS(Ambulatorio!$M$73:$M$483,"Ayudas Diagnósticas Laboratorio y Patología",Ambulatorio!$AP$73:$AP$483,1)</f>
        <v>0</v>
      </c>
      <c r="H39" s="27">
        <f>COUNTIFS(Ambulatorio!$M$73:$M$483,"Ayudas Diagnósticas Laboratorio y Patología",Ambulatorio!$AQ$73:$AQ$483,1)</f>
        <v>0</v>
      </c>
      <c r="I39" s="27">
        <f>COUNTIFS(Ambulatorio!$M$73:$M$483,"Ayudas Diagnósticas Laboratorio y Patología",Ambulatorio!$AR$73:$AR$483,1)</f>
        <v>0</v>
      </c>
      <c r="J39" s="27">
        <f>COUNTIFS(Ambulatorio!$M$73:$M$483,"Ayudas Diagnósticas Laboratorio y Patología",Ambulatorio!$AS$73:$AS$483,1)</f>
        <v>0</v>
      </c>
      <c r="K39" s="27">
        <f>COUNTIFS(Ambulatorio!$M$73:$M$483,"Ayudas Diagnósticas Laboratorio y Patología",Ambulatorio!$AT$73:$AT$483,1)</f>
        <v>0</v>
      </c>
      <c r="L39" s="27">
        <f>COUNTIFS(Ambulatorio!$M$73:$M$483,"Ayudas Diagnósticas Laboratorio y Patología",Ambulatorio!$AU$73:$AU$483,1)</f>
        <v>0</v>
      </c>
    </row>
    <row r="40" spans="1:12">
      <c r="B40" s="17">
        <f t="shared" ref="B40:L40" si="2">SUM(B32:B39)</f>
        <v>20</v>
      </c>
      <c r="C40" s="17">
        <f t="shared" si="2"/>
        <v>20</v>
      </c>
      <c r="D40" s="17">
        <f t="shared" si="2"/>
        <v>20</v>
      </c>
      <c r="E40" s="17">
        <f t="shared" si="2"/>
        <v>20</v>
      </c>
      <c r="F40" s="17">
        <f t="shared" si="2"/>
        <v>20</v>
      </c>
      <c r="G40" s="17">
        <f t="shared" si="2"/>
        <v>20</v>
      </c>
      <c r="H40" s="17">
        <f t="shared" si="2"/>
        <v>20</v>
      </c>
      <c r="I40" s="17">
        <f t="shared" si="2"/>
        <v>20</v>
      </c>
      <c r="J40" s="17">
        <f t="shared" si="2"/>
        <v>20</v>
      </c>
      <c r="K40" s="17">
        <f t="shared" si="2"/>
        <v>20</v>
      </c>
      <c r="L40" s="17">
        <f t="shared" si="2"/>
        <v>20</v>
      </c>
    </row>
    <row r="44" spans="1:12" ht="20.25" customHeight="1">
      <c r="B44" s="212" t="s">
        <v>181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4"/>
    </row>
    <row r="45" spans="1:12" ht="92.4">
      <c r="B45" s="76" t="s">
        <v>170</v>
      </c>
      <c r="C45" s="76" t="s">
        <v>171</v>
      </c>
      <c r="D45" s="76" t="s">
        <v>172</v>
      </c>
      <c r="E45" s="76" t="s">
        <v>173</v>
      </c>
      <c r="F45" s="76" t="s">
        <v>174</v>
      </c>
      <c r="G45" s="76" t="s">
        <v>175</v>
      </c>
      <c r="H45" s="76" t="s">
        <v>176</v>
      </c>
      <c r="I45" s="76" t="s">
        <v>177</v>
      </c>
      <c r="J45" s="76" t="s">
        <v>178</v>
      </c>
      <c r="K45" s="76" t="s">
        <v>179</v>
      </c>
      <c r="L45" s="76" t="s">
        <v>180</v>
      </c>
    </row>
    <row r="46" spans="1:12">
      <c r="A46" s="32" t="s">
        <v>111</v>
      </c>
      <c r="B46" s="27">
        <f>COUNTIFS(Ambulatorio!$M$73:$M$483,"Ayudas Diagnósticas RX - TAC",Ambulatorio!$AK$73:$AK$483,8)</f>
        <v>0</v>
      </c>
      <c r="C46" s="27">
        <f>COUNTIFS(Ambulatorio!$M$73:$M$483,"Ayudas Diagnósticas RX - TAC",Ambulatorio!$AL$73:$AL$483,8)</f>
        <v>0</v>
      </c>
      <c r="D46" s="27">
        <f>COUNTIFS(Ambulatorio!$M$73:$M$483,"Ayudas Diagnósticas RX - TAC",Ambulatorio!$AM$73:$AM$483,8)</f>
        <v>0</v>
      </c>
      <c r="E46" s="27">
        <f>COUNTIFS(Ambulatorio!$M$73:$M$483,"Ayudas Diagnósticas RX - TAC",Ambulatorio!$AN$73:$AN$483,8)</f>
        <v>0</v>
      </c>
      <c r="F46" s="27">
        <f>COUNTIFS(Ambulatorio!$M$73:$M$483,"Ayudas Diagnósticas RX - TAC",Ambulatorio!$AO$73:$AO$483,8)</f>
        <v>0</v>
      </c>
      <c r="G46" s="27">
        <f>COUNTIFS(Ambulatorio!$M$73:$M$483,"Ayudas Diagnósticas RX - TAC",Ambulatorio!$AP$73:$AP$483,8)</f>
        <v>0</v>
      </c>
      <c r="H46" s="27">
        <f>COUNTIFS(Ambulatorio!$M$73:$M$483,"Ayudas Diagnósticas RX - TAC",Ambulatorio!$AQ$73:$AQ$483,8)</f>
        <v>0</v>
      </c>
      <c r="I46" s="27">
        <f>COUNTIFS(Ambulatorio!$M$73:$M$483,"Ayudas Diagnósticas RX - TAC",Ambulatorio!$AR$73:$AR$483,8)</f>
        <v>0</v>
      </c>
      <c r="J46" s="27">
        <f>COUNTIFS(Ambulatorio!$M$73:$M$483,"Ayudas Diagnósticas RX - TAC",Ambulatorio!$AS$73:$AS$483,8)</f>
        <v>0</v>
      </c>
      <c r="K46" s="27">
        <f>COUNTIFS(Ambulatorio!$M$73:$M$483,"Ayudas Diagnósticas RX - TAC",Ambulatorio!$AT$73:$AT$483,8)</f>
        <v>0</v>
      </c>
      <c r="L46" s="27">
        <f>COUNTIFS(Ambulatorio!$M$73:$M$483,"Ayudas Diagnósticas RX - TAC",Ambulatorio!$AU$73:$AU$483,8)</f>
        <v>0</v>
      </c>
    </row>
    <row r="47" spans="1:12">
      <c r="A47" s="32" t="s">
        <v>112</v>
      </c>
      <c r="B47" s="27">
        <f>COUNTIFS(Ambulatorio!$M$73:$M$483,"Ayudas Diagnósticas RX - TAC",Ambulatorio!$AK$73:$AK$483,7)</f>
        <v>0</v>
      </c>
      <c r="C47" s="27">
        <f>COUNTIFS(Ambulatorio!$M$73:$M$483,"Ayudas Diagnósticas RX - TAC",Ambulatorio!$AL$73:$AL$483,7)</f>
        <v>0</v>
      </c>
      <c r="D47" s="27">
        <f>COUNTIFS(Ambulatorio!$M$73:$M$483,"Ayudas Diagnósticas RX - TAC",Ambulatorio!$AM$73:$AM$483,7)</f>
        <v>0</v>
      </c>
      <c r="E47" s="27">
        <f>COUNTIFS(Ambulatorio!$M$73:$M$483,"Ayudas Diagnósticas RX - TAC",Ambulatorio!$AN$73:$AN$483,7)</f>
        <v>0</v>
      </c>
      <c r="F47" s="27">
        <f>COUNTIFS(Ambulatorio!$M$73:$M$483,"Ayudas Diagnósticas RX - TAC",Ambulatorio!$AO$73:$AO$483,7)</f>
        <v>0</v>
      </c>
      <c r="G47" s="27">
        <f>COUNTIFS(Ambulatorio!$M$73:$M$483,"Ayudas Diagnósticas RX - TAC",Ambulatorio!$AP$73:$AP$483,7)</f>
        <v>0</v>
      </c>
      <c r="H47" s="27">
        <f>COUNTIFS(Ambulatorio!$M$73:$M$483,"Ayudas Diagnósticas RX - TAC",Ambulatorio!$AQ$73:$AQ$483,7)</f>
        <v>0</v>
      </c>
      <c r="I47" s="27">
        <f>COUNTIFS(Ambulatorio!$M$73:$M$483,"Ayudas Diagnósticas RX - TAC",Ambulatorio!$AR$73:$AR$483,7)</f>
        <v>0</v>
      </c>
      <c r="J47" s="27">
        <f>COUNTIFS(Ambulatorio!$M$73:$M$483,"Ayudas Diagnósticas RX - TAC",Ambulatorio!$AS$73:$AS$483,7)</f>
        <v>0</v>
      </c>
      <c r="K47" s="27">
        <f>COUNTIFS(Ambulatorio!$M$73:$M$483,"Ayudas Diagnósticas RX - TAC",Ambulatorio!$AT$73:$AT$483,7)</f>
        <v>0</v>
      </c>
      <c r="L47" s="27">
        <f>COUNTIFS(Ambulatorio!$M$73:$M$483,"Ayudas Diagnósticas RX - TAC",Ambulatorio!$AU$73:$AU$483,7)</f>
        <v>0</v>
      </c>
    </row>
    <row r="48" spans="1:12">
      <c r="A48" s="87" t="s">
        <v>113</v>
      </c>
      <c r="B48" s="27">
        <f>COUNTIFS(Ambulatorio!$M$73:$M$483,"Ayudas Diagnósticas RX - TAC",Ambulatorio!$AK$73:$AK$483,6)</f>
        <v>0</v>
      </c>
      <c r="C48" s="27">
        <f>COUNTIFS(Ambulatorio!$M$73:$M$483,"Ayudas Diagnósticas RX - TAC",Ambulatorio!$AL$73:$AL$483,6)</f>
        <v>0</v>
      </c>
      <c r="D48" s="27">
        <f>COUNTIFS(Ambulatorio!$M$73:$M$483,"Ayudas Diagnósticas RX - TAC",Ambulatorio!$AM$73:$AM$483,6)</f>
        <v>0</v>
      </c>
      <c r="E48" s="27">
        <f>COUNTIFS(Ambulatorio!$M$73:$M$483,"Ayudas Diagnósticas RX - TAC",Ambulatorio!$AN$73:$AN$483,6)</f>
        <v>0</v>
      </c>
      <c r="F48" s="27">
        <f>COUNTIFS(Ambulatorio!$M$73:$M$483,"Ayudas Diagnósticas RX - TAC",Ambulatorio!$AO$73:$AO$483,6)</f>
        <v>0</v>
      </c>
      <c r="G48" s="27">
        <f>COUNTIFS(Ambulatorio!$M$73:$M$483,"Ayudas Diagnósticas RX - TAC",Ambulatorio!$AP$73:$AP$483,6)</f>
        <v>0</v>
      </c>
      <c r="H48" s="27">
        <f>COUNTIFS(Ambulatorio!$M$73:$M$483,"Ayudas Diagnósticas RX - TAC",Ambulatorio!$AQ$73:$AQ$483,6)</f>
        <v>0</v>
      </c>
      <c r="I48" s="27">
        <f>COUNTIFS(Ambulatorio!$M$73:$M$483,"Ayudas Diagnósticas RX - TAC",Ambulatorio!$AR$73:$AR$483,6)</f>
        <v>0</v>
      </c>
      <c r="J48" s="27">
        <f>COUNTIFS(Ambulatorio!$M$73:$M$483,"Ayudas Diagnósticas RX - TAC",Ambulatorio!$AS$73:$AS$483,6)</f>
        <v>0</v>
      </c>
      <c r="K48" s="27">
        <f>COUNTIFS(Ambulatorio!$M$73:$M$483,"Ayudas Diagnósticas RX - TAC",Ambulatorio!$AT$73:$AT$483,6)</f>
        <v>0</v>
      </c>
      <c r="L48" s="27">
        <f>COUNTIFS(Ambulatorio!$M$73:$M$483,"Ayudas Diagnósticas RX - TAC",Ambulatorio!$AU$73:$AU$483,6)</f>
        <v>0</v>
      </c>
    </row>
    <row r="49" spans="1:12">
      <c r="A49" s="87" t="s">
        <v>114</v>
      </c>
      <c r="B49" s="27">
        <f>COUNTIFS(Ambulatorio!$M$73:$M$483,"Ayudas Diagnósticas RX - TAC",Ambulatorio!$AK$73:$AK$483,5)</f>
        <v>21</v>
      </c>
      <c r="C49" s="27">
        <f>COUNTIFS(Ambulatorio!$M$73:$M$483,"Ayudas Diagnósticas RX - TAC",Ambulatorio!$AL$73:$AL$483,5)</f>
        <v>21</v>
      </c>
      <c r="D49" s="27">
        <f>COUNTIFS(Ambulatorio!$M$73:$M$483,"Ayudas Diagnósticas RX - TAC",Ambulatorio!$AM$73:$AM$483,5)</f>
        <v>21</v>
      </c>
      <c r="E49" s="27">
        <f>COUNTIFS(Ambulatorio!$M$73:$M$483,"Ayudas Diagnósticas RX - TAC",Ambulatorio!$AN$73:$AN$483,5)</f>
        <v>21</v>
      </c>
      <c r="F49" s="27">
        <f>COUNTIFS(Ambulatorio!$M$73:$M$483,"Ayudas Diagnósticas RX - TAC",Ambulatorio!$AO$73:$AO$483,5)</f>
        <v>21</v>
      </c>
      <c r="G49" s="27">
        <f>COUNTIFS(Ambulatorio!$M$73:$M$483,"Ayudas Diagnósticas RX - TAC",Ambulatorio!$AP$73:$AP$483,5)</f>
        <v>21</v>
      </c>
      <c r="H49" s="27">
        <f>COUNTIFS(Ambulatorio!$M$73:$M$483,"Ayudas Diagnósticas RX - TAC",Ambulatorio!$AQ$73:$AQ$483,5)</f>
        <v>21</v>
      </c>
      <c r="I49" s="27">
        <f>COUNTIFS(Ambulatorio!$M$73:$M$483,"Ayudas Diagnósticas RX - TAC",Ambulatorio!$AR$73:$AR$483,5)</f>
        <v>21</v>
      </c>
      <c r="J49" s="27">
        <f>COUNTIFS(Ambulatorio!$M$73:$M$483,"Ayudas Diagnósticas RX - TAC",Ambulatorio!$AS$73:$AS$483,5)</f>
        <v>21</v>
      </c>
      <c r="K49" s="27">
        <f>COUNTIFS(Ambulatorio!$M$73:$M$483,"Ayudas Diagnósticas RX - TAC",Ambulatorio!$AT$73:$AT$483,5)</f>
        <v>21</v>
      </c>
      <c r="L49" s="27">
        <f>COUNTIFS(Ambulatorio!$M$73:$M$483,"Ayudas Diagnósticas RX - TAC",Ambulatorio!$AU$73:$AU$483,5)</f>
        <v>21</v>
      </c>
    </row>
    <row r="50" spans="1:12">
      <c r="A50" s="87" t="s">
        <v>115</v>
      </c>
      <c r="B50" s="27">
        <f>COUNTIFS(Ambulatorio!$M$73:$M$483,"Ayudas Diagnósticas RX - TAC",Ambulatorio!$AK$73:$AK$483,4)</f>
        <v>0</v>
      </c>
      <c r="C50" s="27">
        <f>COUNTIFS(Ambulatorio!$M$73:$M$483,"Ayudas Diagnósticas RX - TAC",Ambulatorio!$AL$73:$AL$483,4)</f>
        <v>0</v>
      </c>
      <c r="D50" s="27">
        <f>COUNTIFS(Ambulatorio!$M$73:$M$483,"Ayudas Diagnósticas RX - TAC",Ambulatorio!$AM$73:$AM$483,4)</f>
        <v>0</v>
      </c>
      <c r="E50" s="27">
        <f>COUNTIFS(Ambulatorio!$M$73:$M$483,"Ayudas Diagnósticas RX - TAC",Ambulatorio!$AN$73:$AN$483,4)</f>
        <v>0</v>
      </c>
      <c r="F50" s="27">
        <f>COUNTIFS(Ambulatorio!$M$73:$M$483,"Ayudas Diagnósticas RX - TAC",Ambulatorio!$AO$73:$AO$483,4)</f>
        <v>0</v>
      </c>
      <c r="G50" s="27">
        <f>COUNTIFS(Ambulatorio!$M$73:$M$483,"Ayudas Diagnósticas RX - TAC",Ambulatorio!$AP$73:$AP$483,4)</f>
        <v>0</v>
      </c>
      <c r="H50" s="27">
        <f>COUNTIFS(Ambulatorio!$M$73:$M$483,"Ayudas Diagnósticas RX - TAC",Ambulatorio!$AQ$73:$AQ$483,4)</f>
        <v>0</v>
      </c>
      <c r="I50" s="27">
        <f>COUNTIFS(Ambulatorio!$M$73:$M$483,"Ayudas Diagnósticas RX - TAC",Ambulatorio!$AR$73:$AR$483,4)</f>
        <v>0</v>
      </c>
      <c r="J50" s="27">
        <f>COUNTIFS(Ambulatorio!$M$73:$M$483,"Ayudas Diagnósticas RX - TAC",Ambulatorio!$AS$73:$AS$483,4)</f>
        <v>0</v>
      </c>
      <c r="K50" s="27">
        <f>COUNTIFS(Ambulatorio!$M$73:$M$483,"Ayudas Diagnósticas RX - TAC",Ambulatorio!$AT$73:$AT$483,4)</f>
        <v>0</v>
      </c>
      <c r="L50" s="27">
        <f>COUNTIFS(Ambulatorio!$M$73:$M$483,"Ayudas Diagnósticas RX - TAC",Ambulatorio!$AU$73:$AU$483,4)</f>
        <v>0</v>
      </c>
    </row>
    <row r="51" spans="1:12">
      <c r="A51" s="87" t="s">
        <v>116</v>
      </c>
      <c r="B51" s="27">
        <f>COUNTIFS(Ambulatorio!$M$73:$M$483,"Ayudas Diagnósticas RX - TAC",Ambulatorio!$AK$73:$AK$483,3)</f>
        <v>0</v>
      </c>
      <c r="C51" s="27">
        <f>COUNTIFS(Ambulatorio!$M$73:$M$483,"Ayudas Diagnósticas RX - TAC",Ambulatorio!$AL$73:$AL$483,3)</f>
        <v>0</v>
      </c>
      <c r="D51" s="27">
        <f>COUNTIFS(Ambulatorio!$M$73:$M$483,"Ayudas Diagnósticas RX - TAC",Ambulatorio!$AM$73:$AM$483,3)</f>
        <v>0</v>
      </c>
      <c r="E51" s="27">
        <f>COUNTIFS(Ambulatorio!$M$73:$M$483,"Ayudas Diagnósticas RX - TAC",Ambulatorio!$AN$73:$AN$483,3)</f>
        <v>0</v>
      </c>
      <c r="F51" s="27">
        <f>COUNTIFS(Ambulatorio!$M$73:$M$483,"Ayudas Diagnósticas RX - TAC",Ambulatorio!$AO$73:$AO$483,3)</f>
        <v>0</v>
      </c>
      <c r="G51" s="27">
        <f>COUNTIFS(Ambulatorio!$M$73:$M$483,"Ayudas Diagnósticas RX - TAC",Ambulatorio!$AP$73:$AP$483,3)</f>
        <v>0</v>
      </c>
      <c r="H51" s="27">
        <f>COUNTIFS(Ambulatorio!$M$73:$M$483,"Ayudas Diagnósticas RX - TAC",Ambulatorio!$AQ$73:$AQ$483,2)</f>
        <v>0</v>
      </c>
      <c r="I51" s="27">
        <f>COUNTIFS(Ambulatorio!$M$73:$M$483,"Ayudas Diagnósticas RX - TAC",Ambulatorio!$AR$73:$AR$483,3)</f>
        <v>0</v>
      </c>
      <c r="J51" s="27">
        <f>COUNTIFS(Ambulatorio!$M$73:$M$483,"Ayudas Diagnósticas RX - TAC",Ambulatorio!$AS$73:$AS$483,3)</f>
        <v>0</v>
      </c>
      <c r="K51" s="27">
        <f>COUNTIFS(Ambulatorio!$M$73:$M$483,"Ayudas Diagnósticas RX - TAC",Ambulatorio!$AT$73:$AT$483,3)</f>
        <v>0</v>
      </c>
      <c r="L51" s="27">
        <f>COUNTIFS(Ambulatorio!$M$73:$M$483,"Ayudas Diagnósticas RX - TAC",Ambulatorio!$AU$73:$AU$483,3)</f>
        <v>0</v>
      </c>
    </row>
    <row r="52" spans="1:12">
      <c r="A52" s="87" t="s">
        <v>117</v>
      </c>
      <c r="B52" s="27">
        <f>COUNTIFS(Ambulatorio!$M$73:$M$483,"Ayudas Diagnósticas RX - TAC",Ambulatorio!$AK$73:$AK$483,2)</f>
        <v>0</v>
      </c>
      <c r="C52" s="27">
        <f>COUNTIFS(Ambulatorio!$M$73:$M$483,"Ayudas Diagnósticas RX - TAC",Ambulatorio!$AL$73:$AL$483,2)</f>
        <v>0</v>
      </c>
      <c r="D52" s="27">
        <f>COUNTIFS(Ambulatorio!$M$73:$M$483,"Ayudas Diagnósticas RX - TAC",Ambulatorio!$AM$73:$AM$483,2)</f>
        <v>0</v>
      </c>
      <c r="E52" s="27">
        <f>COUNTIFS(Ambulatorio!$M$73:$M$483,"Ayudas Diagnósticas RX - TAC",Ambulatorio!$AN$73:$AN$483,2)</f>
        <v>0</v>
      </c>
      <c r="F52" s="27">
        <f>COUNTIFS(Ambulatorio!$M$73:$M$483,"Ayudas Diagnósticas RX - TAC",Ambulatorio!$AO$73:$AO$483,2)</f>
        <v>0</v>
      </c>
      <c r="G52" s="27">
        <f>COUNTIFS(Ambulatorio!$M$73:$M$483,"Ayudas Diagnósticas RX - TAC",Ambulatorio!$AP$73:$AP$483,2)</f>
        <v>0</v>
      </c>
      <c r="H52" s="27">
        <f>COUNTIFS(Ambulatorio!$M$73:$M$483,"Ayudas Diagnósticas RX - TAC",Ambulatorio!$AQ$73:$AQ$483,2)</f>
        <v>0</v>
      </c>
      <c r="I52" s="27">
        <f>COUNTIFS(Ambulatorio!$M$73:$M$483,"Ayudas Diagnósticas RX - TAC",Ambulatorio!$AR$73:$AR$483,2)</f>
        <v>0</v>
      </c>
      <c r="J52" s="27">
        <f>COUNTIFS(Ambulatorio!$M$73:$M$483,"Ayudas Diagnósticas RX - TAC",Ambulatorio!$AS$73:$AS$483,2)</f>
        <v>0</v>
      </c>
      <c r="K52" s="27">
        <f>COUNTIFS(Ambulatorio!$M$73:$M$483,"Ayudas Diagnósticas RX - TAC",Ambulatorio!$AT$73:$AT$483,2)</f>
        <v>0</v>
      </c>
      <c r="L52" s="27">
        <f>COUNTIFS(Ambulatorio!$M$73:$M$483,"Ayudas Diagnósticas RX - TAC",Ambulatorio!$AU$73:$AU$483,2)</f>
        <v>0</v>
      </c>
    </row>
    <row r="53" spans="1:12">
      <c r="A53" s="87" t="s">
        <v>118</v>
      </c>
      <c r="B53" s="27">
        <f>COUNTIFS(Ambulatorio!$M$73:$M$483,"Ayudas Diagnósticas RX - TAC",Ambulatorio!$AK$73:$AK$483,1)</f>
        <v>0</v>
      </c>
      <c r="C53" s="27">
        <f>COUNTIFS(Ambulatorio!$M$73:$M$483,"Ayudas Diagnósticas RX - TAC",Ambulatorio!$AL$73:$AL$483,1)</f>
        <v>0</v>
      </c>
      <c r="D53" s="27">
        <f>COUNTIFS(Ambulatorio!$M$73:$M$483,"Ayudas Diagnósticas RX - TAC",Ambulatorio!$AM$73:$AM$483,1)</f>
        <v>0</v>
      </c>
      <c r="E53" s="27">
        <f>COUNTIFS(Ambulatorio!$M$73:$M$483,"Ayudas Diagnósticas RX - TAC",Ambulatorio!$AN$73:$AN$483,1)</f>
        <v>0</v>
      </c>
      <c r="F53" s="27">
        <f>COUNTIFS(Ambulatorio!$M$73:$M$483,"Ayudas Diagnósticas RX - TAC",Ambulatorio!$AO$73:$AO$483,1)</f>
        <v>0</v>
      </c>
      <c r="G53" s="27">
        <f>COUNTIFS(Ambulatorio!$M$73:$M$483,"Ayudas Diagnósticas RX - TAC",Ambulatorio!$AP$73:$AP$483,1)</f>
        <v>0</v>
      </c>
      <c r="H53" s="27">
        <f>COUNTIFS(Ambulatorio!$M$73:$M$483,"Ayudas Diagnósticas RX - TAC",Ambulatorio!$AQ$73:$AQ$483,1)</f>
        <v>0</v>
      </c>
      <c r="I53" s="27">
        <f>COUNTIFS(Ambulatorio!$M$73:$M$483,"Ayudas Diagnósticas RX - TAC",Ambulatorio!$AR$73:$AR$483,1)</f>
        <v>0</v>
      </c>
      <c r="J53" s="27">
        <f>COUNTIFS(Ambulatorio!$M$73:$M$483,"Ayudas Diagnósticas RX - TAC",Ambulatorio!$AS$73:$AS$483,1)</f>
        <v>0</v>
      </c>
      <c r="K53" s="27">
        <f>COUNTIFS(Ambulatorio!$M$73:$M$483,"Ayudas Diagnósticas RX - TAC",Ambulatorio!$AT$73:$AT$483,1)</f>
        <v>0</v>
      </c>
      <c r="L53" s="27">
        <f>COUNTIFS(Ambulatorio!$M$73:$M$483,"Ayudas Diagnósticas RX - TAC",Ambulatorio!$AU$73:$AU$483,1)</f>
        <v>0</v>
      </c>
    </row>
    <row r="54" spans="1:12">
      <c r="B54" s="17">
        <f t="shared" ref="B54:L54" si="3">SUM(B46:B53)</f>
        <v>21</v>
      </c>
      <c r="C54" s="17">
        <f t="shared" si="3"/>
        <v>21</v>
      </c>
      <c r="D54" s="17">
        <f t="shared" si="3"/>
        <v>21</v>
      </c>
      <c r="E54" s="17">
        <f t="shared" si="3"/>
        <v>21</v>
      </c>
      <c r="F54" s="17">
        <f t="shared" si="3"/>
        <v>21</v>
      </c>
      <c r="G54" s="17">
        <f t="shared" si="3"/>
        <v>21</v>
      </c>
      <c r="H54" s="17">
        <f t="shared" si="3"/>
        <v>21</v>
      </c>
      <c r="I54" s="17">
        <f t="shared" si="3"/>
        <v>21</v>
      </c>
      <c r="J54" s="17">
        <f t="shared" si="3"/>
        <v>21</v>
      </c>
      <c r="K54" s="17">
        <f t="shared" si="3"/>
        <v>21</v>
      </c>
      <c r="L54" s="17">
        <f t="shared" si="3"/>
        <v>21</v>
      </c>
    </row>
    <row r="58" spans="1:12" ht="24.75" customHeight="1">
      <c r="B58" s="215" t="s">
        <v>129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7"/>
    </row>
    <row r="59" spans="1:12" ht="85.65" customHeight="1">
      <c r="B59" s="76" t="s">
        <v>170</v>
      </c>
      <c r="C59" s="76" t="s">
        <v>171</v>
      </c>
      <c r="D59" s="76" t="s">
        <v>172</v>
      </c>
      <c r="E59" s="76" t="s">
        <v>173</v>
      </c>
      <c r="F59" s="76" t="s">
        <v>174</v>
      </c>
      <c r="G59" s="76" t="s">
        <v>175</v>
      </c>
      <c r="H59" s="76" t="s">
        <v>176</v>
      </c>
      <c r="I59" s="76" t="s">
        <v>177</v>
      </c>
      <c r="J59" s="76" t="s">
        <v>178</v>
      </c>
      <c r="K59" s="76" t="s">
        <v>179</v>
      </c>
      <c r="L59" s="76" t="s">
        <v>180</v>
      </c>
    </row>
    <row r="60" spans="1:12">
      <c r="A60" s="32" t="s">
        <v>111</v>
      </c>
      <c r="B60" s="27">
        <f>COUNTIFS(Ambulatorio!$M$73:$M$483,"Terapias",Ambulatorio!$AK$73:$AK$483,8)</f>
        <v>0</v>
      </c>
      <c r="C60" s="27">
        <f>COUNTIFS(Ambulatorio!$M$73:$M$483,"Terapias",Ambulatorio!$AL$73:$AL$483,8)</f>
        <v>0</v>
      </c>
      <c r="D60" s="27">
        <f>COUNTIFS(Ambulatorio!$M$73:$M$483,"Terapias",Ambulatorio!$AM$73:$AM$483,8)</f>
        <v>0</v>
      </c>
      <c r="E60" s="27">
        <f>COUNTIFS(Ambulatorio!$M$73:$M$483,"Terapias",Ambulatorio!$AN$73:$AN$483,8)</f>
        <v>0</v>
      </c>
      <c r="F60" s="27">
        <f>COUNTIFS(Ambulatorio!$M$73:$M$483,"Terapias",Ambulatorio!$AO$73:$AO$483,8)</f>
        <v>0</v>
      </c>
      <c r="G60" s="27">
        <f>COUNTIFS(Ambulatorio!$M$73:$M$483,"Terapias",Ambulatorio!$AP$73:$AP$483,8)</f>
        <v>0</v>
      </c>
      <c r="H60" s="27">
        <f>COUNTIFS(Ambulatorio!$M$73:$M$483,"Terapias",Ambulatorio!$AQ$73:$AQ$483,8)</f>
        <v>0</v>
      </c>
      <c r="I60" s="27">
        <f>COUNTIFS(Ambulatorio!$M$73:$M$483,"Terapias",Ambulatorio!$AR$73:$AR$483,8)</f>
        <v>0</v>
      </c>
      <c r="J60" s="27">
        <f>COUNTIFS(Ambulatorio!$M$73:$M$483,"Terapias",Ambulatorio!$AS$73:$AS$483,8)</f>
        <v>0</v>
      </c>
      <c r="K60" s="27">
        <f>COUNTIFS(Ambulatorio!$M$73:$M$483,"Terapias",Ambulatorio!$AT$73:$AT$483,8)</f>
        <v>0</v>
      </c>
      <c r="L60" s="27">
        <f>COUNTIFS(Ambulatorio!$M$73:$M$483,"Terapias",Ambulatorio!$AU$73:$AU$483,8)</f>
        <v>0</v>
      </c>
    </row>
    <row r="61" spans="1:12">
      <c r="A61" s="32" t="s">
        <v>112</v>
      </c>
      <c r="B61" s="27">
        <f>COUNTIFS(Ambulatorio!$M$73:$M$483,"Terapias",Ambulatorio!$AK$73:$AK$483,7)</f>
        <v>0</v>
      </c>
      <c r="C61" s="27">
        <f>COUNTIFS(Ambulatorio!$M$73:$M$483,"Terapias",Ambulatorio!$AL$73:$AL$483,7)</f>
        <v>0</v>
      </c>
      <c r="D61" s="27">
        <f>COUNTIFS(Ambulatorio!$M$73:$M$483,"Terapias",Ambulatorio!$AM$73:$AM$483,7)</f>
        <v>0</v>
      </c>
      <c r="E61" s="27">
        <f>COUNTIFS(Ambulatorio!$M$73:$M$483,"Terapias",Ambulatorio!$AN$73:$AN$483,7)</f>
        <v>0</v>
      </c>
      <c r="F61" s="27">
        <f>COUNTIFS(Ambulatorio!$M$73:$M$483,"Terapias",Ambulatorio!$AO$73:$AO$483,7)</f>
        <v>0</v>
      </c>
      <c r="G61" s="27">
        <f>COUNTIFS(Ambulatorio!$M$73:$M$483,"Terapias",Ambulatorio!$AP$73:$AP$483,7)</f>
        <v>0</v>
      </c>
      <c r="H61" s="27">
        <f>COUNTIFS(Ambulatorio!$M$73:$M$483,"Terapias",Ambulatorio!$AQ$73:$AQ$483,7)</f>
        <v>0</v>
      </c>
      <c r="I61" s="27">
        <f>COUNTIFS(Ambulatorio!$M$73:$M$483,"Terapias",Ambulatorio!$AR$73:$AR$483,7)</f>
        <v>0</v>
      </c>
      <c r="J61" s="27">
        <f>COUNTIFS(Ambulatorio!$M$73:$M$483,"Terapias",Ambulatorio!$AS$73:$AS$483,7)</f>
        <v>0</v>
      </c>
      <c r="K61" s="27">
        <f>COUNTIFS(Ambulatorio!$M$73:$M$483,"Terapias",Ambulatorio!$AT$73:$AT$483,7)</f>
        <v>0</v>
      </c>
      <c r="L61" s="27">
        <f>COUNTIFS(Ambulatorio!$M$73:$M$483,"Terapias",Ambulatorio!$AU$73:$AU$483,7)</f>
        <v>0</v>
      </c>
    </row>
    <row r="62" spans="1:12">
      <c r="A62" s="87" t="s">
        <v>113</v>
      </c>
      <c r="B62" s="27">
        <f>COUNTIFS(Ambulatorio!$M$73:$M$483,"Terapias",Ambulatorio!$AK$73:$AK$483,6)</f>
        <v>0</v>
      </c>
      <c r="C62" s="27">
        <f>COUNTIFS(Ambulatorio!$M$73:$M$483,"Terapias",Ambulatorio!$AL$73:$AL$483,6)</f>
        <v>0</v>
      </c>
      <c r="D62" s="27">
        <f>COUNTIFS(Ambulatorio!$M$73:$M$483,"Terapias",Ambulatorio!$AM$73:$AM$483,6)</f>
        <v>0</v>
      </c>
      <c r="E62" s="27">
        <f>COUNTIFS(Ambulatorio!$M$73:$M$483,"Terapias",Ambulatorio!$AN$73:$AN$483,6)</f>
        <v>0</v>
      </c>
      <c r="F62" s="27">
        <f>COUNTIFS(Ambulatorio!$M$73:$M$483,"Terapias",Ambulatorio!$AO$73:$AO$483,6)</f>
        <v>0</v>
      </c>
      <c r="G62" s="27">
        <f>COUNTIFS(Ambulatorio!$M$73:$M$483,"Terapias",Ambulatorio!$AP$73:$AP$483,6)</f>
        <v>0</v>
      </c>
      <c r="H62" s="27">
        <f>COUNTIFS(Ambulatorio!$M$73:$M$483,"Terapias",Ambulatorio!$AQ$73:$AQ$483,6)</f>
        <v>0</v>
      </c>
      <c r="I62" s="27">
        <f>COUNTIFS(Ambulatorio!$M$73:$M$483,"Terapias",Ambulatorio!$AR$73:$AR$483,6)</f>
        <v>0</v>
      </c>
      <c r="J62" s="27">
        <f>COUNTIFS(Ambulatorio!$M$73:$M$483,"Terapias",Ambulatorio!$AS$73:$AS$483,6)</f>
        <v>0</v>
      </c>
      <c r="K62" s="27">
        <f>COUNTIFS(Ambulatorio!$M$73:$M$483,"Terapias",Ambulatorio!$AT$73:$AT$483,6)</f>
        <v>0</v>
      </c>
      <c r="L62" s="27">
        <f>COUNTIFS(Ambulatorio!$M$73:$M$483,"Terapias",Ambulatorio!$AU$73:$AU$483,6)</f>
        <v>0</v>
      </c>
    </row>
    <row r="63" spans="1:12">
      <c r="A63" s="87" t="s">
        <v>114</v>
      </c>
      <c r="B63" s="27">
        <f>COUNTIFS(Ambulatorio!$M$73:$M$483,"Terapias",Ambulatorio!$AK$73:$AK$483,5)</f>
        <v>0</v>
      </c>
      <c r="C63" s="27">
        <f>COUNTIFS(Ambulatorio!$M$73:$M$483,"Terapias",Ambulatorio!$AL$73:$AL$483,5)</f>
        <v>0</v>
      </c>
      <c r="D63" s="27">
        <f>COUNTIFS(Ambulatorio!$M$73:$M$483,"Terapias",Ambulatorio!$AM$73:$AM$483,5)</f>
        <v>0</v>
      </c>
      <c r="E63" s="27">
        <f>COUNTIFS(Ambulatorio!$M$73:$M$483,"Terapias",Ambulatorio!$AN$73:$AN$483,5)</f>
        <v>0</v>
      </c>
      <c r="F63" s="27">
        <f>COUNTIFS(Ambulatorio!$M$73:$M$483,"Terapias",Ambulatorio!$AO$73:$AO$483,5)</f>
        <v>0</v>
      </c>
      <c r="G63" s="27">
        <f>COUNTIFS(Ambulatorio!$M$73:$M$483,"Terapias",Ambulatorio!$AP$73:$AP$483,5)</f>
        <v>0</v>
      </c>
      <c r="H63" s="27">
        <f>COUNTIFS(Ambulatorio!$M$73:$M$483,"Terapias",Ambulatorio!$AQ$73:$AQ$483,5)</f>
        <v>0</v>
      </c>
      <c r="I63" s="27">
        <f>COUNTIFS(Ambulatorio!$M$73:$M$483,"Terapias",Ambulatorio!$AR$73:$AR$483,5)</f>
        <v>0</v>
      </c>
      <c r="J63" s="27">
        <f>COUNTIFS(Ambulatorio!$M$73:$M$483,"Terapias",Ambulatorio!$AS$73:$AS$483,5)</f>
        <v>0</v>
      </c>
      <c r="K63" s="27">
        <f>COUNTIFS(Ambulatorio!$M$73:$M$483,"Terapias",Ambulatorio!$AT$73:$AT$483,5)</f>
        <v>0</v>
      </c>
      <c r="L63" s="27">
        <f>COUNTIFS(Ambulatorio!$M$73:$M$483,"Terapias",Ambulatorio!$AU$73:$AU$483,5)</f>
        <v>0</v>
      </c>
    </row>
    <row r="64" spans="1:12">
      <c r="A64" s="87" t="s">
        <v>115</v>
      </c>
      <c r="B64" s="27">
        <f>COUNTIFS(Ambulatorio!$M$73:$M$483,"Terapias",Ambulatorio!$AK$73:$AK$483,4)</f>
        <v>0</v>
      </c>
      <c r="C64" s="27">
        <f>COUNTIFS(Ambulatorio!$M$73:$M$483,"Terapias",Ambulatorio!$AL$73:$AL$483,4)</f>
        <v>0</v>
      </c>
      <c r="D64" s="27">
        <f>COUNTIFS(Ambulatorio!$M$73:$M$483,"Terapias",Ambulatorio!$AM$73:$AM$483,4)</f>
        <v>0</v>
      </c>
      <c r="E64" s="27">
        <f>COUNTIFS(Ambulatorio!$M$73:$M$483,"Terapias",Ambulatorio!$AN$73:$AN$483,4)</f>
        <v>0</v>
      </c>
      <c r="F64" s="27">
        <f>COUNTIFS(Ambulatorio!$M$73:$M$483,"Terapias",Ambulatorio!$AO$73:$AO$483,4)</f>
        <v>0</v>
      </c>
      <c r="G64" s="27">
        <f>COUNTIFS(Ambulatorio!$M$73:$M$483,"Terapias",Ambulatorio!$AP$73:$AP$483,4)</f>
        <v>0</v>
      </c>
      <c r="H64" s="27">
        <f>COUNTIFS(Ambulatorio!$M$73:$M$483,"Terapias",Ambulatorio!$AQ$73:$AQ$483,4)</f>
        <v>0</v>
      </c>
      <c r="I64" s="27">
        <f>COUNTIFS(Ambulatorio!$M$73:$M$483,"Terapias",Ambulatorio!$AR$73:$AR$483,4)</f>
        <v>0</v>
      </c>
      <c r="J64" s="27">
        <f>COUNTIFS(Ambulatorio!$M$73:$M$483,"Terapias",Ambulatorio!$AS$73:$AS$483,4)</f>
        <v>0</v>
      </c>
      <c r="K64" s="27">
        <f>COUNTIFS(Ambulatorio!$M$73:$M$483,"Terapias",Ambulatorio!$AT$73:$AT$483,4)</f>
        <v>0</v>
      </c>
      <c r="L64" s="27">
        <f>COUNTIFS(Ambulatorio!$M$73:$M$483,"Terapias",Ambulatorio!$AU$73:$AU$483,4)</f>
        <v>0</v>
      </c>
    </row>
    <row r="65" spans="1:12">
      <c r="A65" s="87" t="s">
        <v>116</v>
      </c>
      <c r="B65" s="27">
        <f>COUNTIFS(Ambulatorio!$M$73:$M$483,"Terapias",Ambulatorio!$AK$73:$AK$483,3)</f>
        <v>0</v>
      </c>
      <c r="C65" s="27">
        <f>COUNTIFS(Ambulatorio!$M$73:$M$483,"Terapias",Ambulatorio!$AL$73:$AL$483,3)</f>
        <v>0</v>
      </c>
      <c r="D65" s="27">
        <f>COUNTIFS(Ambulatorio!$M$73:$M$483,"Terapias",Ambulatorio!$AM$73:$AM$483,3)</f>
        <v>0</v>
      </c>
      <c r="E65" s="27">
        <f>COUNTIFS(Ambulatorio!$M$73:$M$483,"Terapias",Ambulatorio!$AN$73:$AN$483,3)</f>
        <v>0</v>
      </c>
      <c r="F65" s="27">
        <f>COUNTIFS(Ambulatorio!$M$73:$M$483,"Terapias",Ambulatorio!$AO$73:$AO$483,3)</f>
        <v>0</v>
      </c>
      <c r="G65" s="27">
        <f>COUNTIFS(Ambulatorio!$M$73:$M$483,"Terapias",Ambulatorio!$AP$73:$AP$483,3)</f>
        <v>0</v>
      </c>
      <c r="H65" s="27">
        <f>COUNTIFS(Ambulatorio!$M$73:$M$483,"Terapias",Ambulatorio!$AQ$73:$AQ$483,2)</f>
        <v>0</v>
      </c>
      <c r="I65" s="27">
        <f>COUNTIFS(Ambulatorio!$M$73:$M$483,"Terapias",Ambulatorio!$AR$73:$AR$483,3)</f>
        <v>0</v>
      </c>
      <c r="J65" s="27">
        <f>COUNTIFS(Ambulatorio!$M$73:$M$483,"Terapias",Ambulatorio!$AS$73:$AS$483,3)</f>
        <v>0</v>
      </c>
      <c r="K65" s="27">
        <f>COUNTIFS(Ambulatorio!$M$73:$M$483,"Terapias",Ambulatorio!$AT$73:$AT$483,3)</f>
        <v>0</v>
      </c>
      <c r="L65" s="27">
        <f>COUNTIFS(Ambulatorio!$M$73:$M$483,"Terapias",Ambulatorio!$AU$73:$AU$483,3)</f>
        <v>0</v>
      </c>
    </row>
    <row r="66" spans="1:12">
      <c r="A66" s="87" t="s">
        <v>117</v>
      </c>
      <c r="B66" s="27">
        <f>COUNTIFS(Ambulatorio!$M$73:$M$483,"Terapias",Ambulatorio!$AK$73:$AK$483,2)</f>
        <v>0</v>
      </c>
      <c r="C66" s="27">
        <f>COUNTIFS(Ambulatorio!$M$73:$M$483,"Terapias",Ambulatorio!$AL$73:$AL$483,2)</f>
        <v>0</v>
      </c>
      <c r="D66" s="27">
        <f>COUNTIFS(Ambulatorio!$M$73:$M$483,"Terapias",Ambulatorio!$AM$73:$AM$483,2)</f>
        <v>0</v>
      </c>
      <c r="E66" s="27">
        <f>COUNTIFS(Ambulatorio!$M$73:$M$483,"Terapias",Ambulatorio!$AN$73:$AN$483,2)</f>
        <v>0</v>
      </c>
      <c r="F66" s="27">
        <f>COUNTIFS(Ambulatorio!$M$73:$M$483,"Terapias",Ambulatorio!$AO$73:$AO$483,2)</f>
        <v>0</v>
      </c>
      <c r="G66" s="27">
        <f>COUNTIFS(Ambulatorio!$M$73:$M$483,"Terapias",Ambulatorio!$AP$73:$AP$483,2)</f>
        <v>0</v>
      </c>
      <c r="H66" s="27">
        <f>COUNTIFS(Ambulatorio!$M$73:$M$483,"Terapias",Ambulatorio!$AQ$73:$AQ$483,2)</f>
        <v>0</v>
      </c>
      <c r="I66" s="27">
        <f>COUNTIFS(Ambulatorio!$M$73:$M$483,"Terapias",Ambulatorio!$AR$73:$AR$483,2)</f>
        <v>0</v>
      </c>
      <c r="J66" s="27">
        <f>COUNTIFS(Ambulatorio!$M$73:$M$483,"Terapias",Ambulatorio!$AS$73:$AS$483,2)</f>
        <v>0</v>
      </c>
      <c r="K66" s="27">
        <f>COUNTIFS(Ambulatorio!$M$73:$M$483,"Terapias",Ambulatorio!$AT$73:$AT$483,2)</f>
        <v>0</v>
      </c>
      <c r="L66" s="27">
        <f>COUNTIFS(Ambulatorio!$M$73:$M$483,"Terapias",Ambulatorio!$AU$73:$AU$483,2)</f>
        <v>0</v>
      </c>
    </row>
    <row r="67" spans="1:12">
      <c r="A67" s="87" t="s">
        <v>118</v>
      </c>
      <c r="B67" s="27">
        <f>COUNTIFS(Ambulatorio!$M$73:$M$483,"Terapias",Ambulatorio!$AK$73:$AK$483,1)</f>
        <v>0</v>
      </c>
      <c r="C67" s="27">
        <f>COUNTIFS(Ambulatorio!$M$73:$M$483,"Terapias",Ambulatorio!$AL$73:$AL$483,1)</f>
        <v>0</v>
      </c>
      <c r="D67" s="27">
        <f>COUNTIFS(Ambulatorio!$M$73:$M$483,"Terapias",Ambulatorio!$AM$73:$AM$483,1)</f>
        <v>0</v>
      </c>
      <c r="E67" s="27">
        <f>COUNTIFS(Ambulatorio!$M$73:$M$483,"Terapias",Ambulatorio!$AN$73:$AN$483,1)</f>
        <v>0</v>
      </c>
      <c r="F67" s="27">
        <f>COUNTIFS(Ambulatorio!$M$73:$M$483,"Terapias",Ambulatorio!$AO$73:$AO$483,1)</f>
        <v>0</v>
      </c>
      <c r="G67" s="27">
        <f>COUNTIFS(Ambulatorio!$M$73:$M$483,"Terapias",Ambulatorio!$AP$73:$AP$483,1)</f>
        <v>0</v>
      </c>
      <c r="H67" s="27">
        <f>COUNTIFS(Ambulatorio!$M$73:$M$483,"Terapias",Ambulatorio!$AQ$73:$AQ$483,1)</f>
        <v>0</v>
      </c>
      <c r="I67" s="27">
        <f>COUNTIFS(Ambulatorio!$M$73:$M$483,"Terapias",Ambulatorio!$AR$73:$AR$483,1)</f>
        <v>0</v>
      </c>
      <c r="J67" s="27">
        <f>COUNTIFS(Ambulatorio!$M$73:$M$483,"Terapias",Ambulatorio!$AS$73:$AS$483,1)</f>
        <v>0</v>
      </c>
      <c r="K67" s="27">
        <f>COUNTIFS(Ambulatorio!$M$73:$M$483,"Terapias",Ambulatorio!$AT$73:$AT$483,1)</f>
        <v>0</v>
      </c>
      <c r="L67" s="27">
        <f>COUNTIFS(Ambulatorio!$M$73:$M$483,"Terapias",Ambulatorio!$AU$73:$AU$483,1)</f>
        <v>0</v>
      </c>
    </row>
    <row r="68" spans="1:12">
      <c r="B68" s="17">
        <f t="shared" ref="B68:L68" si="4">SUM(B60:B67)</f>
        <v>0</v>
      </c>
      <c r="C68" s="17">
        <f t="shared" si="4"/>
        <v>0</v>
      </c>
      <c r="D68" s="17">
        <f t="shared" si="4"/>
        <v>0</v>
      </c>
      <c r="E68" s="17">
        <f t="shared" si="4"/>
        <v>0</v>
      </c>
      <c r="F68" s="17">
        <f t="shared" si="4"/>
        <v>0</v>
      </c>
      <c r="G68" s="17">
        <f t="shared" si="4"/>
        <v>0</v>
      </c>
      <c r="H68" s="17">
        <f t="shared" si="4"/>
        <v>0</v>
      </c>
      <c r="I68" s="17">
        <f t="shared" si="4"/>
        <v>0</v>
      </c>
      <c r="J68" s="17">
        <f t="shared" si="4"/>
        <v>0</v>
      </c>
      <c r="K68" s="17">
        <f t="shared" si="4"/>
        <v>0</v>
      </c>
      <c r="L68" s="17">
        <f t="shared" si="4"/>
        <v>0</v>
      </c>
    </row>
    <row r="72" spans="1:12" ht="33.75" customHeight="1">
      <c r="B72" s="200" t="s">
        <v>136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2"/>
    </row>
    <row r="73" spans="1:12" ht="92.4">
      <c r="B73" s="76" t="s">
        <v>170</v>
      </c>
      <c r="C73" s="76" t="s">
        <v>171</v>
      </c>
      <c r="D73" s="76" t="s">
        <v>172</v>
      </c>
      <c r="E73" s="76" t="s">
        <v>173</v>
      </c>
      <c r="F73" s="76" t="s">
        <v>174</v>
      </c>
      <c r="G73" s="76" t="s">
        <v>175</v>
      </c>
      <c r="H73" s="76" t="s">
        <v>176</v>
      </c>
      <c r="I73" s="76" t="s">
        <v>177</v>
      </c>
      <c r="J73" s="76" t="s">
        <v>178</v>
      </c>
      <c r="K73" s="76" t="s">
        <v>179</v>
      </c>
      <c r="L73" s="76" t="s">
        <v>180</v>
      </c>
    </row>
    <row r="74" spans="1:12">
      <c r="A74" s="32" t="s">
        <v>111</v>
      </c>
      <c r="B74" s="27">
        <f>COUNTIFS(Ambulatorio!$M$73:$M$483,"Ayudas Diagnósticas Servicios Complementarios",Ambulatorio!$AK$73:$AK$483,8)</f>
        <v>0</v>
      </c>
      <c r="C74" s="27">
        <f>COUNTIFS(Ambulatorio!$M$73:$M$483,"Ayudas Diagnósticas Servicios Complementarios",Ambulatorio!$AL$73:$AL$483,8)</f>
        <v>0</v>
      </c>
      <c r="D74" s="27">
        <f>COUNTIFS(Ambulatorio!$M$73:$M$483,"Ayudas Diagnósticas Servicios Complementarios",Ambulatorio!$AM$73:$AM$483,8)</f>
        <v>0</v>
      </c>
      <c r="E74" s="27">
        <f>COUNTIFS(Ambulatorio!$M$73:$M$483,"Ayudas Diagnósticas Servicios Complementarios",Ambulatorio!$AN$73:$AN$483,8)</f>
        <v>0</v>
      </c>
      <c r="F74" s="27">
        <f>COUNTIFS(Ambulatorio!$M$73:$M$483,"Ayudas Diagnósticas Servicios Complementarios",Ambulatorio!$AO$73:$AO$483,8)</f>
        <v>0</v>
      </c>
      <c r="G74" s="27">
        <f>COUNTIFS(Ambulatorio!$M$73:$M$483,"Ayudas Diagnósticas Servicios Complementarios",Ambulatorio!$AP$73:$AP$483,8)</f>
        <v>0</v>
      </c>
      <c r="H74" s="27">
        <f>COUNTIFS(Ambulatorio!$M$73:$M$483,"Ayudas Diagnósticas Servicios Complementarios",Ambulatorio!$AQ$73:$AQ$483,8)</f>
        <v>0</v>
      </c>
      <c r="I74" s="27">
        <f>COUNTIFS(Ambulatorio!$M$73:$M$483,"Ayudas Diagnósticas Servicios Complementarios",Ambulatorio!$AR$73:$AR$483,8)</f>
        <v>0</v>
      </c>
      <c r="J74" s="27">
        <f>COUNTIFS(Ambulatorio!$M$73:$M$483,"Ayudas Diagnósticas Servicios Complementarios",Ambulatorio!$AS$73:$AS$483,8)</f>
        <v>0</v>
      </c>
      <c r="K74" s="27">
        <f>COUNTIFS(Ambulatorio!$M$73:$M$483,"Ayudas Diagnósticas Servicios Complementarios",Ambulatorio!$AT$73:$AT$483,8)</f>
        <v>0</v>
      </c>
      <c r="L74" s="27">
        <f>COUNTIFS(Ambulatorio!$M$73:$M$483,"Ayudas Diagnósticas Servicios Complementarios",Ambulatorio!$AU$73:$AU$483,8)</f>
        <v>0</v>
      </c>
    </row>
    <row r="75" spans="1:12">
      <c r="A75" s="32" t="s">
        <v>112</v>
      </c>
      <c r="B75" s="27">
        <f>COUNTIFS(Ambulatorio!$M$73:$M$483,"Ayudas Diagnósticas Servicios Complementarios",Ambulatorio!$AK$73:$AK$483,7)</f>
        <v>0</v>
      </c>
      <c r="C75" s="27">
        <f>COUNTIFS(Ambulatorio!$M$73:$M$483,"Ayudas Diagnósticas Servicios Complementarios",Ambulatorio!$AL$73:$AL$483,7)</f>
        <v>0</v>
      </c>
      <c r="D75" s="27">
        <f>COUNTIFS(Ambulatorio!$M$73:$M$483,"Ayudas Diagnósticas Servicios Complementarios",Ambulatorio!$AM$73:$AM$483,7)</f>
        <v>0</v>
      </c>
      <c r="E75" s="27">
        <f>COUNTIFS(Ambulatorio!$M$73:$M$483,"Ayudas Diagnósticas Servicios Complementarios",Ambulatorio!$AN$73:$AN$483,7)</f>
        <v>0</v>
      </c>
      <c r="F75" s="27">
        <f>COUNTIFS(Ambulatorio!$M$73:$M$483,"Ayudas Diagnósticas Servicios Complementarios",Ambulatorio!$AO$73:$AO$483,7)</f>
        <v>0</v>
      </c>
      <c r="G75" s="27">
        <f>COUNTIFS(Ambulatorio!$M$73:$M$483,"Ayudas Diagnósticas Servicios Complementarios",Ambulatorio!$AP$73:$AP$483,7)</f>
        <v>0</v>
      </c>
      <c r="H75" s="27">
        <f>COUNTIFS(Ambulatorio!$M$73:$M$483,"Ayudas Diagnósticas Servicios Complementarios",Ambulatorio!$AQ$73:$AQ$483,7)</f>
        <v>0</v>
      </c>
      <c r="I75" s="27">
        <f>COUNTIFS(Ambulatorio!$M$73:$M$483,"Ayudas Diagnósticas Servicios Complementarios",Ambulatorio!$AR$73:$AR$483,7)</f>
        <v>0</v>
      </c>
      <c r="J75" s="27">
        <f>COUNTIFS(Ambulatorio!$M$73:$M$483,"Ayudas Diagnósticas Servicios Complementarios",Ambulatorio!$AS$73:$AS$483,7)</f>
        <v>0</v>
      </c>
      <c r="K75" s="27">
        <f>COUNTIFS(Ambulatorio!$M$73:$M$483,"Ayudas Diagnósticas Servicios Complementarios",Ambulatorio!$AT$73:$AT$483,7)</f>
        <v>0</v>
      </c>
      <c r="L75" s="27">
        <f>COUNTIFS(Ambulatorio!$M$73:$M$483,"Ayudas Diagnósticas Servicios Complementarios",Ambulatorio!$AU$73:$AU$483,7)</f>
        <v>0</v>
      </c>
    </row>
    <row r="76" spans="1:12">
      <c r="A76" s="87" t="s">
        <v>113</v>
      </c>
      <c r="B76" s="27">
        <f>COUNTIFS(Ambulatorio!$M$73:$M$483,"Ayudas Diagnósticas Servicios Complementarios",Ambulatorio!$AK$73:$AK$483,6)</f>
        <v>0</v>
      </c>
      <c r="C76" s="27">
        <f>COUNTIFS(Ambulatorio!$M$73:$M$483,"Ayudas Diagnósticas Servicios Complementarios",Ambulatorio!$AL$73:$AL$483,6)</f>
        <v>0</v>
      </c>
      <c r="D76" s="27">
        <f>COUNTIFS(Ambulatorio!$M$73:$M$483,"Ayudas Diagnósticas Servicios Complementarios",Ambulatorio!$AM$73:$AM$483,6)</f>
        <v>0</v>
      </c>
      <c r="E76" s="27">
        <f>COUNTIFS(Ambulatorio!$M$73:$M$483,"Ayudas Diagnósticas Servicios Complementarios",Ambulatorio!$AN$73:$AN$483,6)</f>
        <v>0</v>
      </c>
      <c r="F76" s="27">
        <f>COUNTIFS(Ambulatorio!$M$73:$M$483,"Ayudas Diagnósticas Servicios Complementarios",Ambulatorio!$AO$73:$AO$483,6)</f>
        <v>0</v>
      </c>
      <c r="G76" s="27">
        <f>COUNTIFS(Ambulatorio!$M$73:$M$483,"Ayudas Diagnósticas Servicios Complementarios",Ambulatorio!$AP$73:$AP$483,6)</f>
        <v>0</v>
      </c>
      <c r="H76" s="27">
        <f>COUNTIFS(Ambulatorio!$M$73:$M$483,"Ayudas Diagnósticas Servicios Complementarios",Ambulatorio!$AQ$73:$AQ$483,6)</f>
        <v>7</v>
      </c>
      <c r="I76" s="27">
        <f>COUNTIFS(Ambulatorio!$M$73:$M$483,"Ayudas Diagnósticas Servicios Complementarios",Ambulatorio!$AR$73:$AR$483,6)</f>
        <v>0</v>
      </c>
      <c r="J76" s="27">
        <f>COUNTIFS(Ambulatorio!$M$73:$M$483,"Ayudas Diagnósticas Servicios Complementarios",Ambulatorio!$AS$73:$AS$483,6)</f>
        <v>0</v>
      </c>
      <c r="K76" s="27">
        <f>COUNTIFS(Ambulatorio!$M$73:$M$483,"Ayudas Diagnósticas Servicios Complementarios",Ambulatorio!$AT$73:$AT$483,6)</f>
        <v>0</v>
      </c>
      <c r="L76" s="27">
        <f>COUNTIFS(Ambulatorio!$M$73:$M$483,"Ayudas Diagnósticas Servicios Complementarios",Ambulatorio!$AU$73:$AU$483,6)</f>
        <v>0</v>
      </c>
    </row>
    <row r="77" spans="1:12">
      <c r="A77" s="87" t="s">
        <v>114</v>
      </c>
      <c r="B77" s="27">
        <f>COUNTIFS(Ambulatorio!$M$73:$M$483,"Ayudas Diagnósticas Servicios Complementarios",Ambulatorio!$AK$73:$AK$483,5)</f>
        <v>30</v>
      </c>
      <c r="C77" s="27">
        <f>COUNTIFS(Ambulatorio!$M$73:$M$483,"Ayudas Diagnósticas Servicios Complementarios",Ambulatorio!$AL$73:$AL$483,5)</f>
        <v>30</v>
      </c>
      <c r="D77" s="27">
        <f>COUNTIFS(Ambulatorio!$M$73:$M$483,"Ayudas Diagnósticas Servicios Complementarios",Ambulatorio!$AM$73:$AM$483,5)</f>
        <v>30</v>
      </c>
      <c r="E77" s="27">
        <f>COUNTIFS(Ambulatorio!$M$73:$M$483,"Ayudas Diagnósticas Servicios Complementarios",Ambulatorio!$AN$73:$AN$483,5)</f>
        <v>30</v>
      </c>
      <c r="F77" s="27">
        <f>COUNTIFS(Ambulatorio!$M$73:$M$483,"Ayudas Diagnósticas Servicios Complementarios",Ambulatorio!$AO$73:$AO$483,5)</f>
        <v>30</v>
      </c>
      <c r="G77" s="27">
        <f>COUNTIFS(Ambulatorio!$M$73:$M$483,"Ayudas Diagnósticas Servicios Complementarios",Ambulatorio!$AP$73:$AP$483,5)</f>
        <v>30</v>
      </c>
      <c r="H77" s="27">
        <f>COUNTIFS(Ambulatorio!$M$73:$M$483,"Ayudas Diagnósticas Servicios Complementarios",Ambulatorio!$AQ$73:$AQ$483,5)</f>
        <v>23</v>
      </c>
      <c r="I77" s="27">
        <f>COUNTIFS(Ambulatorio!$M$73:$M$483,"Ayudas Diagnósticas Servicios Complementarios",Ambulatorio!$AR$73:$AR$483,5)</f>
        <v>30</v>
      </c>
      <c r="J77" s="27">
        <f>COUNTIFS(Ambulatorio!$M$73:$M$483,"Ayudas Diagnósticas Servicios Complementarios",Ambulatorio!$AS$73:$AS$483,5)</f>
        <v>30</v>
      </c>
      <c r="K77" s="27">
        <f>COUNTIFS(Ambulatorio!$M$73:$M$483,"Ayudas Diagnósticas Servicios Complementarios",Ambulatorio!$AT$73:$AT$483,5)</f>
        <v>30</v>
      </c>
      <c r="L77" s="27">
        <f>COUNTIFS(Ambulatorio!$M$73:$M$483,"Ayudas Diagnósticas Servicios Complementarios",Ambulatorio!$AU$73:$AU$483,5)</f>
        <v>30</v>
      </c>
    </row>
    <row r="78" spans="1:12">
      <c r="A78" s="87" t="s">
        <v>115</v>
      </c>
      <c r="B78" s="27">
        <f>COUNTIFS(Ambulatorio!$M$73:$M$483,"Ayudas Diagnósticas Servicios Complementarios",Ambulatorio!$AK$73:$AK$483,4)</f>
        <v>0</v>
      </c>
      <c r="C78" s="27">
        <f>COUNTIFS(Ambulatorio!$M$73:$M$483,"Ayudas Diagnósticas Servicios Complementarios",Ambulatorio!$AL$73:$AL$483,4)</f>
        <v>0</v>
      </c>
      <c r="D78" s="27">
        <f>COUNTIFS(Ambulatorio!$M$73:$M$483,"Ayudas Diagnósticas Servicios Complementarios",Ambulatorio!$AM$73:$AM$483,4)</f>
        <v>0</v>
      </c>
      <c r="E78" s="27">
        <f>COUNTIFS(Ambulatorio!$M$73:$M$483,"Ayudas Diagnósticas Servicios Complementarios",Ambulatorio!$AN$73:$AN$483,4)</f>
        <v>0</v>
      </c>
      <c r="F78" s="27">
        <f>COUNTIFS(Ambulatorio!$M$73:$M$483,"Ayudas Diagnósticas Servicios Complementarios",Ambulatorio!$AO$73:$AO$483,4)</f>
        <v>0</v>
      </c>
      <c r="G78" s="27">
        <f>COUNTIFS(Ambulatorio!$M$73:$M$483,"Ayudas Diagnósticas Servicios Complementarios",Ambulatorio!$AP$73:$AP$483,4)</f>
        <v>0</v>
      </c>
      <c r="H78" s="27">
        <f>COUNTIFS(Ambulatorio!$M$73:$M$483,"Ayudas Diagnósticas Servicios Complementarios",Ambulatorio!$AQ$73:$AQ$483,4)</f>
        <v>0</v>
      </c>
      <c r="I78" s="27">
        <f>COUNTIFS(Ambulatorio!$M$73:$M$483,"Ayudas Diagnósticas Servicios Complementarios",Ambulatorio!$AR$73:$AR$483,4)</f>
        <v>0</v>
      </c>
      <c r="J78" s="27">
        <f>COUNTIFS(Ambulatorio!$M$73:$M$483,"Ayudas Diagnósticas Servicios Complementarios",Ambulatorio!$AS$73:$AS$483,4)</f>
        <v>0</v>
      </c>
      <c r="K78" s="27">
        <f>COUNTIFS(Ambulatorio!$M$73:$M$483,"Ayudas Diagnósticas Servicios Complementarios",Ambulatorio!$AT$73:$AT$483,4)</f>
        <v>0</v>
      </c>
      <c r="L78" s="27">
        <f>COUNTIFS(Ambulatorio!$M$73:$M$483,"Ayudas Diagnósticas Servicios Complementarios",Ambulatorio!$AU$73:$AU$483,4)</f>
        <v>0</v>
      </c>
    </row>
    <row r="79" spans="1:12">
      <c r="A79" s="87" t="s">
        <v>116</v>
      </c>
      <c r="B79" s="27">
        <f>COUNTIFS(Ambulatorio!$M$73:$M$483,"Ayudas Diagnósticas Servicios Complementarios",Ambulatorio!$AK$73:$AK$483,3)</f>
        <v>0</v>
      </c>
      <c r="C79" s="27">
        <f>COUNTIFS(Ambulatorio!$M$73:$M$483,"Ayudas Diagnósticas Servicios Complementarios",Ambulatorio!$AL$73:$AL$483,3)</f>
        <v>0</v>
      </c>
      <c r="D79" s="27">
        <f>COUNTIFS(Ambulatorio!$M$73:$M$483,"Ayudas Diagnósticas Servicios Complementarios",Ambulatorio!$AM$73:$AM$483,3)</f>
        <v>0</v>
      </c>
      <c r="E79" s="27">
        <f>COUNTIFS(Ambulatorio!$M$73:$M$483,"Ayudas Diagnósticas Servicios Complementarios",Ambulatorio!$AN$73:$AN$483,3)</f>
        <v>0</v>
      </c>
      <c r="F79" s="27">
        <f>COUNTIFS(Ambulatorio!$M$73:$M$483,"Ayudas Diagnósticas Servicios Complementarios",Ambulatorio!$AO$73:$AO$483,3)</f>
        <v>0</v>
      </c>
      <c r="G79" s="27">
        <f>COUNTIFS(Ambulatorio!$M$73:$M$483,"Ayudas Diagnósticas Servicios Complementarios",Ambulatorio!$AP$73:$AP$483,3)</f>
        <v>0</v>
      </c>
      <c r="H79" s="27">
        <f>COUNTIFS(Ambulatorio!$M$73:$M$483,"Ayudas Diagnósticas Servicios Complementarios",Ambulatorio!$AQ$73:$AQ$483,2)</f>
        <v>0</v>
      </c>
      <c r="I79" s="27">
        <f>COUNTIFS(Ambulatorio!$M$73:$M$483,"Ayudas Diagnósticas Servicios Complementarios",Ambulatorio!$AR$73:$AR$483,3)</f>
        <v>0</v>
      </c>
      <c r="J79" s="27">
        <f>COUNTIFS(Ambulatorio!$M$73:$M$483,"Ayudas Diagnósticas Servicios Complementarios",Ambulatorio!$AS$73:$AS$483,3)</f>
        <v>0</v>
      </c>
      <c r="K79" s="27">
        <f>COUNTIFS(Ambulatorio!$M$73:$M$483,"Ayudas Diagnósticas Servicios Complementarios",Ambulatorio!$AT$73:$AT$483,3)</f>
        <v>0</v>
      </c>
      <c r="L79" s="27">
        <f>COUNTIFS(Ambulatorio!$M$73:$M$483,"Ayudas Diagnósticas Servicios Complementarios",Ambulatorio!$AU$73:$AU$483,3)</f>
        <v>0</v>
      </c>
    </row>
    <row r="80" spans="1:12">
      <c r="A80" s="87" t="s">
        <v>117</v>
      </c>
      <c r="B80" s="27">
        <f>COUNTIFS(Ambulatorio!$M$73:$M$483,"Ayudas Diagnósticas Servicios Complementarios",Ambulatorio!$AK$73:$AK$483,2)</f>
        <v>0</v>
      </c>
      <c r="C80" s="27">
        <f>COUNTIFS(Ambulatorio!$M$73:$M$483,"Ayudas Diagnósticas Servicios Complementarios",Ambulatorio!$AL$73:$AL$483,2)</f>
        <v>0</v>
      </c>
      <c r="D80" s="27">
        <f>COUNTIFS(Ambulatorio!$M$73:$M$483,"Ayudas Diagnósticas Servicios Complementarios",Ambulatorio!$AM$73:$AM$483,2)</f>
        <v>0</v>
      </c>
      <c r="E80" s="27">
        <f>COUNTIFS(Ambulatorio!$M$73:$M$483,"Ayudas Diagnósticas Servicios Complementarios",Ambulatorio!$AN$73:$AN$483,2)</f>
        <v>0</v>
      </c>
      <c r="F80" s="27">
        <f>COUNTIFS(Ambulatorio!$M$73:$M$483,"Ayudas Diagnósticas Servicios Complementarios",Ambulatorio!$AO$73:$AO$483,2)</f>
        <v>0</v>
      </c>
      <c r="G80" s="27">
        <f>COUNTIFS(Ambulatorio!$M$73:$M$483,"Ayudas Diagnósticas Servicios Complementarios",Ambulatorio!$AP$73:$AP$483,2)</f>
        <v>0</v>
      </c>
      <c r="H80" s="27">
        <f>COUNTIFS(Ambulatorio!$M$73:$M$483,"Ayudas Diagnósticas Servicios Complementarios",Ambulatorio!$AQ$73:$AQ$483,2)</f>
        <v>0</v>
      </c>
      <c r="I80" s="27">
        <f>COUNTIFS(Ambulatorio!$M$73:$M$483,"Ayudas Diagnósticas Servicios Complementarios",Ambulatorio!$AR$73:$AR$483,2)</f>
        <v>0</v>
      </c>
      <c r="J80" s="27">
        <f>COUNTIFS(Ambulatorio!$M$73:$M$483,"Ayudas Diagnósticas Servicios Complementarios",Ambulatorio!$AS$73:$AS$483,2)</f>
        <v>0</v>
      </c>
      <c r="K80" s="27">
        <f>COUNTIFS(Ambulatorio!$M$73:$M$483,"Ayudas Diagnósticas Servicios Complementarios",Ambulatorio!$AT$73:$AT$483,2)</f>
        <v>0</v>
      </c>
      <c r="L80" s="27">
        <f>COUNTIFS(Ambulatorio!$M$73:$M$483,"Ayudas Diagnósticas Servicios Complementarios",Ambulatorio!$AU$73:$AU$483,2)</f>
        <v>0</v>
      </c>
    </row>
    <row r="81" spans="1:12">
      <c r="A81" s="87" t="s">
        <v>118</v>
      </c>
      <c r="B81" s="27">
        <f>COUNTIFS(Ambulatorio!$M$73:$M$483,"Ayudas Diagnósticas Servicios Complementarios",Ambulatorio!$AK$73:$AK$483,1)</f>
        <v>0</v>
      </c>
      <c r="C81" s="27">
        <f>COUNTIFS(Ambulatorio!$M$73:$M$483,"Ayudas Diagnósticas Servicios Complementarios",Ambulatorio!$AL$73:$AL$483,1)</f>
        <v>0</v>
      </c>
      <c r="D81" s="27">
        <f>COUNTIFS(Ambulatorio!$M$73:$M$483,"Ayudas Diagnósticas Servicios Complementarios",Ambulatorio!$AM$73:$AM$483,1)</f>
        <v>0</v>
      </c>
      <c r="E81" s="27">
        <f>COUNTIFS(Ambulatorio!$M$73:$M$483,"Ayudas Diagnósticas Servicios Complementarios",Ambulatorio!$AN$73:$AN$483,1)</f>
        <v>0</v>
      </c>
      <c r="F81" s="27">
        <f>COUNTIFS(Ambulatorio!$M$73:$M$483,"Ayudas Diagnósticas Servicios Complementarios",Ambulatorio!$AO$73:$AO$483,1)</f>
        <v>0</v>
      </c>
      <c r="G81" s="27">
        <f>COUNTIFS(Ambulatorio!$M$73:$M$483,"Ayudas Diagnósticas Servicios Complementarios",Ambulatorio!$AP$73:$AP$483,1)</f>
        <v>0</v>
      </c>
      <c r="H81" s="27">
        <f>COUNTIFS(Ambulatorio!$M$73:$M$483,"Ayudas Diagnósticas Servicios Complementarios",Ambulatorio!$AQ$73:$AQ$483,1)</f>
        <v>0</v>
      </c>
      <c r="I81" s="27">
        <f>COUNTIFS(Ambulatorio!$M$73:$M$483,"Ayudas Diagnósticas Servicios Complementarios",Ambulatorio!$AR$73:$AR$483,1)</f>
        <v>0</v>
      </c>
      <c r="J81" s="27">
        <f>COUNTIFS(Ambulatorio!$M$73:$M$483,"Ayudas Diagnósticas Servicios Complementarios",Ambulatorio!$AS$73:$AS$483,1)</f>
        <v>0</v>
      </c>
      <c r="K81" s="27">
        <f>COUNTIFS(Ambulatorio!$M$73:$M$483,"Ayudas Diagnósticas Servicios Complementarios",Ambulatorio!$AT$73:$AT$483,1)</f>
        <v>0</v>
      </c>
      <c r="L81" s="27">
        <f>COUNTIFS(Ambulatorio!$M$73:$M$483,"Ayudas Diagnósticas Servicios Complementarios",Ambulatorio!$AU$73:$AU$483,1)</f>
        <v>0</v>
      </c>
    </row>
    <row r="82" spans="1:12">
      <c r="B82" s="17">
        <f t="shared" ref="B82:L82" si="5">SUM(B74:B81)</f>
        <v>30</v>
      </c>
      <c r="C82" s="17">
        <f t="shared" si="5"/>
        <v>30</v>
      </c>
      <c r="D82" s="17">
        <f t="shared" si="5"/>
        <v>30</v>
      </c>
      <c r="E82" s="17">
        <f t="shared" si="5"/>
        <v>30</v>
      </c>
      <c r="F82" s="17">
        <f t="shared" si="5"/>
        <v>30</v>
      </c>
      <c r="G82" s="17">
        <f t="shared" si="5"/>
        <v>30</v>
      </c>
      <c r="H82" s="17">
        <f t="shared" si="5"/>
        <v>30</v>
      </c>
      <c r="I82" s="17">
        <f t="shared" si="5"/>
        <v>30</v>
      </c>
      <c r="J82" s="17">
        <f t="shared" si="5"/>
        <v>30</v>
      </c>
      <c r="K82" s="17">
        <f t="shared" si="5"/>
        <v>30</v>
      </c>
      <c r="L82" s="17">
        <f t="shared" si="5"/>
        <v>30</v>
      </c>
    </row>
    <row r="86" spans="1:12" ht="30.15" customHeight="1">
      <c r="B86" s="203" t="s">
        <v>137</v>
      </c>
      <c r="C86" s="204"/>
      <c r="D86" s="204"/>
      <c r="E86" s="204"/>
      <c r="F86" s="204"/>
      <c r="G86" s="204"/>
      <c r="H86" s="204"/>
      <c r="I86" s="204"/>
      <c r="J86" s="204"/>
      <c r="K86" s="204"/>
      <c r="L86" s="205"/>
    </row>
    <row r="87" spans="1:12" ht="92.4">
      <c r="B87" s="76" t="s">
        <v>170</v>
      </c>
      <c r="C87" s="76" t="s">
        <v>171</v>
      </c>
      <c r="D87" s="76" t="s">
        <v>172</v>
      </c>
      <c r="E87" s="76" t="s">
        <v>173</v>
      </c>
      <c r="F87" s="76" t="s">
        <v>174</v>
      </c>
      <c r="G87" s="76" t="s">
        <v>175</v>
      </c>
      <c r="H87" s="76" t="s">
        <v>176</v>
      </c>
      <c r="I87" s="76" t="s">
        <v>177</v>
      </c>
      <c r="J87" s="76" t="s">
        <v>178</v>
      </c>
      <c r="K87" s="76" t="s">
        <v>179</v>
      </c>
      <c r="L87" s="76" t="s">
        <v>180</v>
      </c>
    </row>
    <row r="88" spans="1:12">
      <c r="A88" s="32" t="s">
        <v>111</v>
      </c>
      <c r="B88" s="27">
        <f>COUNTIFS(Ambulatorio!$M$73:$M$483,"Urgencias",Ambulatorio!$AK$73:$AK$483,8)</f>
        <v>0</v>
      </c>
      <c r="C88" s="27">
        <f>COUNTIFS(Ambulatorio!$M$73:$M$483,"Urgencias",Ambulatorio!$AL$73:$AL$483,8)</f>
        <v>0</v>
      </c>
      <c r="D88" s="27">
        <f>COUNTIFS(Ambulatorio!$M$73:$M$483,"Urgencias",Ambulatorio!$AM$73:$AM$483,8)</f>
        <v>0</v>
      </c>
      <c r="E88" s="27">
        <f>COUNTIFS(Ambulatorio!$M$73:$M$483,"Urgencias",Ambulatorio!$AN$73:$AN$483,8)</f>
        <v>0</v>
      </c>
      <c r="F88" s="27">
        <f>COUNTIFS(Ambulatorio!$M$73:$M$483,"Urgencias",Ambulatorio!$AO$73:$AO$483,8)</f>
        <v>0</v>
      </c>
      <c r="G88" s="27">
        <f>COUNTIFS(Ambulatorio!$M$73:$M$483,"Urgencias",Ambulatorio!$AP$73:$AP$483,8)</f>
        <v>0</v>
      </c>
      <c r="H88" s="27">
        <f>COUNTIFS(Ambulatorio!$M$73:$M$483,"Urgencias",Ambulatorio!$AQ$73:$AQ$483,8)</f>
        <v>0</v>
      </c>
      <c r="I88" s="27">
        <f>COUNTIFS(Ambulatorio!$M$73:$M$483,"Urgencias",Ambulatorio!$AR$73:$AR$483,8)</f>
        <v>0</v>
      </c>
      <c r="J88" s="27">
        <f>COUNTIFS(Ambulatorio!$M$73:$M$483,"Urgencias",Ambulatorio!$AS$73:$AS$483,8)</f>
        <v>0</v>
      </c>
      <c r="K88" s="27">
        <f>COUNTIFS(Ambulatorio!$M$73:$M$483,"Urgencias",Ambulatorio!$AT$73:$AT$483,8)</f>
        <v>0</v>
      </c>
      <c r="L88" s="27">
        <f>COUNTIFS(Ambulatorio!$M$73:$M$483,"Urgencias",Ambulatorio!$AU$73:$AU$483,8)</f>
        <v>0</v>
      </c>
    </row>
    <row r="89" spans="1:12">
      <c r="A89" s="32" t="s">
        <v>112</v>
      </c>
      <c r="B89" s="27">
        <f>COUNTIFS(Ambulatorio!$M$73:$M$483,"Urgencias",Ambulatorio!$AK$73:$AK$483,7)</f>
        <v>0</v>
      </c>
      <c r="C89" s="27">
        <f>COUNTIFS(Ambulatorio!$M$73:$M$483,"Urgencias",Ambulatorio!$AL$73:$AL$483,7)</f>
        <v>0</v>
      </c>
      <c r="D89" s="27">
        <f>COUNTIFS(Ambulatorio!$M$73:$M$483,"Urgencias",Ambulatorio!$AM$73:$AM$483,7)</f>
        <v>0</v>
      </c>
      <c r="E89" s="27">
        <f>COUNTIFS(Ambulatorio!$M$73:$M$483,"Urgencias",Ambulatorio!$AN$73:$AN$483,7)</f>
        <v>0</v>
      </c>
      <c r="F89" s="27">
        <f>COUNTIFS(Ambulatorio!$M$73:$M$483,"Urgencias",Ambulatorio!$AO$73:$AO$483,7)</f>
        <v>0</v>
      </c>
      <c r="G89" s="27">
        <f>COUNTIFS(Ambulatorio!$M$73:$M$483,"Urgencias",Ambulatorio!$AP$73:$AP$483,7)</f>
        <v>0</v>
      </c>
      <c r="H89" s="27">
        <f>COUNTIFS(Ambulatorio!$M$73:$M$483,"Urgencias",Ambulatorio!$AQ$73:$AQ$483,7)</f>
        <v>0</v>
      </c>
      <c r="I89" s="27">
        <f>COUNTIFS(Ambulatorio!$M$73:$M$483,"Urgencias",Ambulatorio!$AR$73:$AR$483,7)</f>
        <v>0</v>
      </c>
      <c r="J89" s="27">
        <f>COUNTIFS(Ambulatorio!$M$73:$M$483,"Urgencias",Ambulatorio!$AS$73:$AS$483,7)</f>
        <v>0</v>
      </c>
      <c r="K89" s="27">
        <f>COUNTIFS(Ambulatorio!$M$73:$M$483,"Urgencias",Ambulatorio!$AT$73:$AT$483,7)</f>
        <v>0</v>
      </c>
      <c r="L89" s="27">
        <f>COUNTIFS(Ambulatorio!$M$73:$M$483,"Urgencias",Ambulatorio!$AU$73:$AU$483,7)</f>
        <v>0</v>
      </c>
    </row>
    <row r="90" spans="1:12">
      <c r="A90" s="87" t="s">
        <v>113</v>
      </c>
      <c r="B90" s="27">
        <f>COUNTIFS(Ambulatorio!$M$73:$M$483,"Urgencias",Ambulatorio!$AK$73:$AK$483,6)</f>
        <v>2</v>
      </c>
      <c r="C90" s="27">
        <f>COUNTIFS(Ambulatorio!$M$73:$M$483,"Urgencias",Ambulatorio!$AL$73:$AL$483,6)</f>
        <v>2</v>
      </c>
      <c r="D90" s="27">
        <f>COUNTIFS(Ambulatorio!$M$73:$M$483,"Urgencias",Ambulatorio!$AM$73:$AM$483,6)</f>
        <v>2</v>
      </c>
      <c r="E90" s="27">
        <f>COUNTIFS(Ambulatorio!$M$73:$M$483,"Urgencias",Ambulatorio!$AN$73:$AN$483,6)</f>
        <v>0</v>
      </c>
      <c r="F90" s="27">
        <f>COUNTIFS(Ambulatorio!$M$73:$M$483,"Urgencias",Ambulatorio!$AO$73:$AO$483,6)</f>
        <v>2</v>
      </c>
      <c r="G90" s="27">
        <f>COUNTIFS(Ambulatorio!$M$73:$M$483,"Urgencias",Ambulatorio!$AP$73:$AP$483,6)</f>
        <v>1</v>
      </c>
      <c r="H90" s="27">
        <f>COUNTIFS(Ambulatorio!$M$73:$M$483,"Urgencias",Ambulatorio!$AQ$73:$AQ$483,6)</f>
        <v>1</v>
      </c>
      <c r="I90" s="27">
        <f>COUNTIFS(Ambulatorio!$M$73:$M$483,"Urgencias",Ambulatorio!$AR$73:$AR$483,6)</f>
        <v>2</v>
      </c>
      <c r="J90" s="27">
        <f>COUNTIFS(Ambulatorio!$M$73:$M$483,"Urgencias",Ambulatorio!$AS$73:$AS$483,6)</f>
        <v>0</v>
      </c>
      <c r="K90" s="27">
        <f>COUNTIFS(Ambulatorio!$M$73:$M$483,"Urgencias",Ambulatorio!$AT$73:$AT$483,6)</f>
        <v>0</v>
      </c>
      <c r="L90" s="27">
        <f>COUNTIFS(Ambulatorio!$M$73:$M$483,"Urgencias",Ambulatorio!$AU$73:$AU$483,6)</f>
        <v>2</v>
      </c>
    </row>
    <row r="91" spans="1:12">
      <c r="A91" s="87" t="s">
        <v>114</v>
      </c>
      <c r="B91" s="27">
        <f>COUNTIFS(Ambulatorio!$M$73:$M$483,"Urgencias",Ambulatorio!$AK$73:$AK$483,5)</f>
        <v>95</v>
      </c>
      <c r="C91" s="27">
        <f>COUNTIFS(Ambulatorio!$M$73:$M$483,"Urgencias",Ambulatorio!$AL$73:$AL$483,5)</f>
        <v>95</v>
      </c>
      <c r="D91" s="27">
        <f>COUNTIFS(Ambulatorio!$M$73:$M$483,"Urgencias",Ambulatorio!$AM$73:$AM$483,5)</f>
        <v>95</v>
      </c>
      <c r="E91" s="27">
        <f>COUNTIFS(Ambulatorio!$M$73:$M$483,"Urgencias",Ambulatorio!$AN$73:$AN$483,5)</f>
        <v>95</v>
      </c>
      <c r="F91" s="27">
        <f>COUNTIFS(Ambulatorio!$M$73:$M$483,"Urgencias",Ambulatorio!$AO$73:$AO$483,5)</f>
        <v>95</v>
      </c>
      <c r="G91" s="27">
        <f>COUNTIFS(Ambulatorio!$M$73:$M$483,"Urgencias",Ambulatorio!$AP$73:$AP$483,5)</f>
        <v>95</v>
      </c>
      <c r="H91" s="27">
        <f>COUNTIFS(Ambulatorio!$M$73:$M$483,"Urgencias",Ambulatorio!$AQ$73:$AQ$483,5)</f>
        <v>96</v>
      </c>
      <c r="I91" s="27">
        <f>COUNTIFS(Ambulatorio!$M$73:$M$483,"Urgencias",Ambulatorio!$AR$73:$AR$483,5)</f>
        <v>95</v>
      </c>
      <c r="J91" s="27">
        <f>COUNTIFS(Ambulatorio!$M$73:$M$483,"Urgencias",Ambulatorio!$AS$73:$AS$483,5)</f>
        <v>95</v>
      </c>
      <c r="K91" s="27">
        <f>COUNTIFS(Ambulatorio!$M$73:$M$483,"Urgencias",Ambulatorio!$AT$73:$AT$483,5)</f>
        <v>95</v>
      </c>
      <c r="L91" s="27">
        <f>COUNTIFS(Ambulatorio!$M$73:$M$483,"Urgencias",Ambulatorio!$AU$73:$AU$483,5)</f>
        <v>95</v>
      </c>
    </row>
    <row r="92" spans="1:12">
      <c r="A92" s="87" t="s">
        <v>115</v>
      </c>
      <c r="B92" s="27">
        <f>COUNTIFS(Ambulatorio!$M$73:$M$483,"Urgencias",Ambulatorio!$AK$73:$AK$483,4)</f>
        <v>1</v>
      </c>
      <c r="C92" s="27">
        <f>COUNTIFS(Ambulatorio!$M$73:$M$483,"Urgencias",Ambulatorio!$AL$73:$AL$483,4)</f>
        <v>1</v>
      </c>
      <c r="D92" s="27">
        <f>COUNTIFS(Ambulatorio!$M$73:$M$483,"Urgencias",Ambulatorio!$AM$73:$AM$483,4)</f>
        <v>1</v>
      </c>
      <c r="E92" s="27">
        <f>COUNTIFS(Ambulatorio!$M$73:$M$483,"Urgencias",Ambulatorio!$AN$73:$AN$483,4)</f>
        <v>1</v>
      </c>
      <c r="F92" s="27">
        <f>COUNTIFS(Ambulatorio!$M$73:$M$483,"Urgencias",Ambulatorio!$AO$73:$AO$483,4)</f>
        <v>1</v>
      </c>
      <c r="G92" s="27">
        <f>COUNTIFS(Ambulatorio!$M$73:$M$483,"Urgencias",Ambulatorio!$AP$73:$AP$483,4)</f>
        <v>1</v>
      </c>
      <c r="H92" s="27">
        <f>COUNTIFS(Ambulatorio!$M$73:$M$483,"Urgencias",Ambulatorio!$AQ$73:$AQ$483,4)</f>
        <v>1</v>
      </c>
      <c r="I92" s="27">
        <f>COUNTIFS(Ambulatorio!$M$73:$M$483,"Urgencias",Ambulatorio!$AR$73:$AR$483,4)</f>
        <v>1</v>
      </c>
      <c r="J92" s="27">
        <f>COUNTIFS(Ambulatorio!$M$73:$M$483,"Urgencias",Ambulatorio!$AS$73:$AS$483,4)</f>
        <v>3</v>
      </c>
      <c r="K92" s="27">
        <f>COUNTIFS(Ambulatorio!$M$73:$M$483,"Urgencias",Ambulatorio!$AT$73:$AT$483,4)</f>
        <v>3</v>
      </c>
      <c r="L92" s="27">
        <f>COUNTIFS(Ambulatorio!$M$73:$M$483,"Urgencias",Ambulatorio!$AU$73:$AU$483,4)</f>
        <v>1</v>
      </c>
    </row>
    <row r="93" spans="1:12">
      <c r="A93" s="87" t="s">
        <v>116</v>
      </c>
      <c r="B93" s="27">
        <f>COUNTIFS(Ambulatorio!$M$73:$M$483,"Urgencias",Ambulatorio!$AK$73:$AK$483,3)</f>
        <v>0</v>
      </c>
      <c r="C93" s="27">
        <f>COUNTIFS(Ambulatorio!$M$73:$M$483,"Urgencias",Ambulatorio!$AL$73:$AL$483,3)</f>
        <v>0</v>
      </c>
      <c r="D93" s="27">
        <f>COUNTIFS(Ambulatorio!$M$73:$M$483,"Urgencias",Ambulatorio!$AM$73:$AM$483,3)</f>
        <v>0</v>
      </c>
      <c r="E93" s="27">
        <f>COUNTIFS(Ambulatorio!$M$73:$M$483,"Urgencias",Ambulatorio!$AN$73:$AN$483,3)</f>
        <v>2</v>
      </c>
      <c r="F93" s="27">
        <f>COUNTIFS(Ambulatorio!$M$73:$M$483,"Urgencias",Ambulatorio!$AO$73:$AO$483,3)</f>
        <v>0</v>
      </c>
      <c r="G93" s="27">
        <f>COUNTIFS(Ambulatorio!$M$73:$M$483,"Urgencias",Ambulatorio!$AP$73:$AP$483,3)</f>
        <v>1</v>
      </c>
      <c r="H93" s="27">
        <f>COUNTIFS(Ambulatorio!$M$73:$M$483,"Urgencias",Ambulatorio!$AQ$73:$AQ$483,2)</f>
        <v>0</v>
      </c>
      <c r="I93" s="27">
        <f>COUNTIFS(Ambulatorio!$M$73:$M$483,"Urgencias",Ambulatorio!$AR$73:$AR$483,3)</f>
        <v>0</v>
      </c>
      <c r="J93" s="27">
        <f>COUNTIFS(Ambulatorio!$M$73:$M$483,"Urgencias",Ambulatorio!$AS$73:$AS$483,3)</f>
        <v>0</v>
      </c>
      <c r="K93" s="27">
        <f>COUNTIFS(Ambulatorio!$M$73:$M$483,"Urgencias",Ambulatorio!$AT$73:$AT$483,3)</f>
        <v>0</v>
      </c>
      <c r="L93" s="27">
        <f>COUNTIFS(Ambulatorio!$M$73:$M$483,"Urgencias",Ambulatorio!$AU$73:$AU$483,3)</f>
        <v>0</v>
      </c>
    </row>
    <row r="94" spans="1:12">
      <c r="A94" s="87" t="s">
        <v>117</v>
      </c>
      <c r="B94" s="27">
        <f>COUNTIFS(Ambulatorio!$M$73:$M$483,"Urgencias",Ambulatorio!$AK$73:$AK$483,2)</f>
        <v>0</v>
      </c>
      <c r="C94" s="27">
        <f>COUNTIFS(Ambulatorio!$M$73:$M$483,"Urgencias",Ambulatorio!$AL$73:$AL$483,2)</f>
        <v>0</v>
      </c>
      <c r="D94" s="27">
        <f>COUNTIFS(Ambulatorio!$M$73:$M$483,"Urgencias",Ambulatorio!$AM$73:$AM$483,2)</f>
        <v>0</v>
      </c>
      <c r="E94" s="27">
        <f>COUNTIFS(Ambulatorio!$M$73:$M$483,"Urgencias",Ambulatorio!$AN$73:$AN$483,2)</f>
        <v>0</v>
      </c>
      <c r="F94" s="27">
        <f>COUNTIFS(Ambulatorio!$M$73:$M$483,"Urgencias",Ambulatorio!$AO$73:$AO$483,2)</f>
        <v>0</v>
      </c>
      <c r="G94" s="27">
        <f>COUNTIFS(Ambulatorio!$M$73:$M$483,"Urgencias",Ambulatorio!$AP$73:$AP$483,2)</f>
        <v>0</v>
      </c>
      <c r="H94" s="27">
        <f>COUNTIFS(Ambulatorio!$M$73:$M$483,"Urgencias",Ambulatorio!$AQ$73:$AQ$483,2)</f>
        <v>0</v>
      </c>
      <c r="I94" s="27">
        <f>COUNTIFS(Ambulatorio!$M$73:$M$483,"Urgencias",Ambulatorio!$AR$73:$AR$483,2)</f>
        <v>0</v>
      </c>
      <c r="J94" s="27">
        <f>COUNTIFS(Ambulatorio!$M$73:$M$483,"Urgencias",Ambulatorio!$AS$73:$AS$483,2)</f>
        <v>0</v>
      </c>
      <c r="K94" s="27">
        <f>COUNTIFS(Ambulatorio!$M$73:$M$483,"Urgencias",Ambulatorio!$AT$73:$AT$483,2)</f>
        <v>0</v>
      </c>
      <c r="L94" s="27">
        <f>COUNTIFS(Ambulatorio!$M$73:$M$483,"Urgencias",Ambulatorio!$AU$73:$AU$483,2)</f>
        <v>0</v>
      </c>
    </row>
    <row r="95" spans="1:12">
      <c r="A95" s="87" t="s">
        <v>118</v>
      </c>
      <c r="B95" s="27">
        <f>COUNTIFS(Ambulatorio!$M$73:$M$483,"Urgencias",Ambulatorio!$AK$73:$AK$483,1)</f>
        <v>0</v>
      </c>
      <c r="C95" s="27">
        <f>COUNTIFS(Ambulatorio!$M$73:$M$483,"Urgencias",Ambulatorio!$AL$73:$AL$483,1)</f>
        <v>0</v>
      </c>
      <c r="D95" s="27">
        <f>COUNTIFS(Ambulatorio!$M$73:$M$483,"Urgencias",Ambulatorio!$AM$73:$AM$483,1)</f>
        <v>0</v>
      </c>
      <c r="E95" s="27">
        <f>COUNTIFS(Ambulatorio!$M$73:$M$483,"Urgencias",Ambulatorio!$AN$73:$AN$483,1)</f>
        <v>0</v>
      </c>
      <c r="F95" s="27">
        <f>COUNTIFS(Ambulatorio!$M$73:$M$483,"Urgencias",Ambulatorio!$AO$73:$AO$483,1)</f>
        <v>0</v>
      </c>
      <c r="G95" s="27">
        <f>COUNTIFS(Ambulatorio!$M$73:$M$483,"Urgencias",Ambulatorio!$AP$73:$AP$483,1)</f>
        <v>0</v>
      </c>
      <c r="H95" s="27">
        <f>COUNTIFS(Ambulatorio!$M$73:$M$483,"Urgencias",Ambulatorio!$AQ$73:$AQ$483,1)</f>
        <v>0</v>
      </c>
      <c r="I95" s="27">
        <f>COUNTIFS(Ambulatorio!$M$73:$M$483,"Urgencias",Ambulatorio!$AR$73:$AR$483,1)</f>
        <v>0</v>
      </c>
      <c r="J95" s="27">
        <f>COUNTIFS(Ambulatorio!$M$73:$M$483,"Urgencias",Ambulatorio!$AS$73:$AS$483,1)</f>
        <v>0</v>
      </c>
      <c r="K95" s="27">
        <f>COUNTIFS(Ambulatorio!$M$73:$M$483,"Urgencias",Ambulatorio!$AT$73:$AT$483,1)</f>
        <v>0</v>
      </c>
      <c r="L95" s="27">
        <f>COUNTIFS(Ambulatorio!$M$73:$M$483,"Urgencias",Ambulatorio!$AU$73:$AU$483,1)</f>
        <v>0</v>
      </c>
    </row>
    <row r="96" spans="1:12">
      <c r="B96" s="17">
        <f t="shared" ref="B96:L96" si="6">SUM(B88:B95)</f>
        <v>98</v>
      </c>
      <c r="C96" s="17">
        <f t="shared" si="6"/>
        <v>98</v>
      </c>
      <c r="D96" s="17">
        <f t="shared" si="6"/>
        <v>98</v>
      </c>
      <c r="E96" s="17">
        <f t="shared" si="6"/>
        <v>98</v>
      </c>
      <c r="F96" s="17">
        <f t="shared" si="6"/>
        <v>98</v>
      </c>
      <c r="G96" s="17">
        <f t="shared" si="6"/>
        <v>98</v>
      </c>
      <c r="H96" s="17">
        <f t="shared" si="6"/>
        <v>98</v>
      </c>
      <c r="I96" s="17">
        <f t="shared" si="6"/>
        <v>98</v>
      </c>
      <c r="J96" s="17">
        <f t="shared" si="6"/>
        <v>98</v>
      </c>
      <c r="K96" s="17">
        <f t="shared" si="6"/>
        <v>98</v>
      </c>
      <c r="L96" s="17">
        <f t="shared" si="6"/>
        <v>98</v>
      </c>
    </row>
    <row r="98" spans="1:12">
      <c r="B98">
        <f>+B96+B82+B68+B54+B40+B26</f>
        <v>169</v>
      </c>
    </row>
    <row r="101" spans="1:12" ht="24.75" customHeight="1">
      <c r="B101" s="206" t="s">
        <v>182</v>
      </c>
      <c r="C101" s="207"/>
      <c r="D101" s="207"/>
      <c r="E101" s="207"/>
      <c r="F101" s="207"/>
      <c r="G101" s="207"/>
      <c r="H101" s="207"/>
      <c r="I101" s="207"/>
      <c r="J101" s="207"/>
      <c r="K101" s="207"/>
      <c r="L101" s="208"/>
    </row>
    <row r="102" spans="1:12" ht="92.4">
      <c r="B102" s="76" t="s">
        <v>170</v>
      </c>
      <c r="C102" s="76" t="s">
        <v>171</v>
      </c>
      <c r="D102" s="76" t="s">
        <v>172</v>
      </c>
      <c r="E102" s="76" t="s">
        <v>173</v>
      </c>
      <c r="F102" s="76" t="s">
        <v>174</v>
      </c>
      <c r="G102" s="76" t="s">
        <v>175</v>
      </c>
      <c r="H102" s="76" t="s">
        <v>176</v>
      </c>
      <c r="I102" s="76" t="s">
        <v>177</v>
      </c>
      <c r="J102" s="76" t="s">
        <v>178</v>
      </c>
      <c r="K102" s="76" t="s">
        <v>179</v>
      </c>
      <c r="L102" s="76" t="s">
        <v>180</v>
      </c>
    </row>
    <row r="103" spans="1:12" ht="26.4">
      <c r="A103" s="5" t="s">
        <v>131</v>
      </c>
      <c r="B103" s="85" t="e">
        <f>(B21+B22)/B26</f>
        <v>#DIV/0!</v>
      </c>
      <c r="C103" s="85" t="e">
        <f t="shared" ref="C103:L103" si="7">(C21+C22)/C26</f>
        <v>#DIV/0!</v>
      </c>
      <c r="D103" s="85" t="e">
        <f t="shared" si="7"/>
        <v>#DIV/0!</v>
      </c>
      <c r="E103" s="85" t="e">
        <f t="shared" si="7"/>
        <v>#DIV/0!</v>
      </c>
      <c r="F103" s="85" t="e">
        <f t="shared" si="7"/>
        <v>#DIV/0!</v>
      </c>
      <c r="G103" s="85" t="e">
        <f t="shared" si="7"/>
        <v>#DIV/0!</v>
      </c>
      <c r="H103" s="85" t="e">
        <f t="shared" si="7"/>
        <v>#DIV/0!</v>
      </c>
      <c r="I103" s="85" t="e">
        <f t="shared" si="7"/>
        <v>#DIV/0!</v>
      </c>
      <c r="J103" s="85" t="e">
        <f t="shared" si="7"/>
        <v>#DIV/0!</v>
      </c>
      <c r="K103" s="85" t="e">
        <f t="shared" si="7"/>
        <v>#DIV/0!</v>
      </c>
      <c r="L103" s="85" t="e">
        <f t="shared" si="7"/>
        <v>#DIV/0!</v>
      </c>
    </row>
    <row r="104" spans="1:12" ht="26.4">
      <c r="A104" s="5" t="s">
        <v>139</v>
      </c>
      <c r="B104" s="85">
        <f>(B35+B36)/B40</f>
        <v>1</v>
      </c>
      <c r="C104" s="85">
        <f t="shared" ref="C104:L104" si="8">(C35+C36)/C40</f>
        <v>1</v>
      </c>
      <c r="D104" s="85">
        <f t="shared" si="8"/>
        <v>1</v>
      </c>
      <c r="E104" s="85">
        <f t="shared" si="8"/>
        <v>1</v>
      </c>
      <c r="F104" s="85">
        <f t="shared" si="8"/>
        <v>1</v>
      </c>
      <c r="G104" s="85">
        <f t="shared" si="8"/>
        <v>1</v>
      </c>
      <c r="H104" s="85">
        <f t="shared" si="8"/>
        <v>1</v>
      </c>
      <c r="I104" s="85">
        <f t="shared" si="8"/>
        <v>1</v>
      </c>
      <c r="J104" s="85">
        <f t="shared" si="8"/>
        <v>1</v>
      </c>
      <c r="K104" s="85">
        <f t="shared" si="8"/>
        <v>1</v>
      </c>
      <c r="L104" s="85">
        <f t="shared" si="8"/>
        <v>1</v>
      </c>
    </row>
    <row r="105" spans="1:12">
      <c r="A105" s="77" t="s">
        <v>140</v>
      </c>
      <c r="B105" s="85">
        <f>(B49+B50)/B54</f>
        <v>1</v>
      </c>
      <c r="C105" s="85">
        <f t="shared" ref="C105:L105" si="9">(C49+C50)/C54</f>
        <v>1</v>
      </c>
      <c r="D105" s="85">
        <f t="shared" si="9"/>
        <v>1</v>
      </c>
      <c r="E105" s="85">
        <f t="shared" si="9"/>
        <v>1</v>
      </c>
      <c r="F105" s="85">
        <f t="shared" si="9"/>
        <v>1</v>
      </c>
      <c r="G105" s="85">
        <f t="shared" si="9"/>
        <v>1</v>
      </c>
      <c r="H105" s="85">
        <f t="shared" si="9"/>
        <v>1</v>
      </c>
      <c r="I105" s="85">
        <f t="shared" si="9"/>
        <v>1</v>
      </c>
      <c r="J105" s="85">
        <f t="shared" si="9"/>
        <v>1</v>
      </c>
      <c r="K105" s="85">
        <f t="shared" si="9"/>
        <v>1</v>
      </c>
      <c r="L105" s="85">
        <f t="shared" si="9"/>
        <v>1</v>
      </c>
    </row>
    <row r="106" spans="1:12">
      <c r="A106" s="77" t="s">
        <v>129</v>
      </c>
      <c r="B106" s="85" t="e">
        <f>(B63+B64)/B68</f>
        <v>#DIV/0!</v>
      </c>
      <c r="C106" s="85" t="e">
        <f t="shared" ref="C106:L106" si="10">(C63+C64)/C68</f>
        <v>#DIV/0!</v>
      </c>
      <c r="D106" s="85" t="e">
        <f t="shared" si="10"/>
        <v>#DIV/0!</v>
      </c>
      <c r="E106" s="85" t="e">
        <f t="shared" si="10"/>
        <v>#DIV/0!</v>
      </c>
      <c r="F106" s="85" t="e">
        <f t="shared" si="10"/>
        <v>#DIV/0!</v>
      </c>
      <c r="G106" s="85" t="e">
        <f t="shared" si="10"/>
        <v>#DIV/0!</v>
      </c>
      <c r="H106" s="85" t="e">
        <f t="shared" si="10"/>
        <v>#DIV/0!</v>
      </c>
      <c r="I106" s="85" t="e">
        <f t="shared" si="10"/>
        <v>#DIV/0!</v>
      </c>
      <c r="J106" s="85" t="e">
        <f t="shared" si="10"/>
        <v>#DIV/0!</v>
      </c>
      <c r="K106" s="85" t="e">
        <f t="shared" si="10"/>
        <v>#DIV/0!</v>
      </c>
      <c r="L106" s="85" t="e">
        <f t="shared" si="10"/>
        <v>#DIV/0!</v>
      </c>
    </row>
    <row r="107" spans="1:12" ht="39.6">
      <c r="A107" s="88" t="s">
        <v>136</v>
      </c>
      <c r="B107" s="85">
        <f>(B77+B78)/B82</f>
        <v>1</v>
      </c>
      <c r="C107" s="85">
        <f t="shared" ref="C107:L107" si="11">(C77+C78)/C82</f>
        <v>1</v>
      </c>
      <c r="D107" s="85">
        <f t="shared" si="11"/>
        <v>1</v>
      </c>
      <c r="E107" s="85">
        <f t="shared" si="11"/>
        <v>1</v>
      </c>
      <c r="F107" s="85">
        <f t="shared" si="11"/>
        <v>1</v>
      </c>
      <c r="G107" s="85">
        <f t="shared" si="11"/>
        <v>1</v>
      </c>
      <c r="H107" s="85">
        <f t="shared" si="11"/>
        <v>0.76666666666666672</v>
      </c>
      <c r="I107" s="85">
        <f t="shared" si="11"/>
        <v>1</v>
      </c>
      <c r="J107" s="85">
        <f t="shared" si="11"/>
        <v>1</v>
      </c>
      <c r="K107" s="85">
        <f t="shared" si="11"/>
        <v>1</v>
      </c>
      <c r="L107" s="85">
        <f t="shared" si="11"/>
        <v>1</v>
      </c>
    </row>
    <row r="108" spans="1:12">
      <c r="A108" s="87" t="s">
        <v>137</v>
      </c>
      <c r="B108" s="85">
        <f>(B91+B92)/B96</f>
        <v>0.97959183673469385</v>
      </c>
      <c r="C108" s="85">
        <f t="shared" ref="C108:L108" si="12">(C91+C92)/C96</f>
        <v>0.97959183673469385</v>
      </c>
      <c r="D108" s="85">
        <f t="shared" si="12"/>
        <v>0.97959183673469385</v>
      </c>
      <c r="E108" s="85">
        <f t="shared" si="12"/>
        <v>0.97959183673469385</v>
      </c>
      <c r="F108" s="85">
        <f t="shared" si="12"/>
        <v>0.97959183673469385</v>
      </c>
      <c r="G108" s="85">
        <f t="shared" si="12"/>
        <v>0.97959183673469385</v>
      </c>
      <c r="H108" s="85">
        <f t="shared" si="12"/>
        <v>0.98979591836734693</v>
      </c>
      <c r="I108" s="85">
        <f t="shared" si="12"/>
        <v>0.97959183673469385</v>
      </c>
      <c r="J108" s="85">
        <f t="shared" si="12"/>
        <v>1</v>
      </c>
      <c r="K108" s="85">
        <f t="shared" si="12"/>
        <v>1</v>
      </c>
      <c r="L108" s="85">
        <f t="shared" si="12"/>
        <v>0.97959183673469385</v>
      </c>
    </row>
  </sheetData>
  <mergeCells count="8">
    <mergeCell ref="B72:L72"/>
    <mergeCell ref="B86:L86"/>
    <mergeCell ref="B101:L101"/>
    <mergeCell ref="B3:L3"/>
    <mergeCell ref="B16:L16"/>
    <mergeCell ref="B30:L30"/>
    <mergeCell ref="B44:L44"/>
    <mergeCell ref="B58:L58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I103"/>
  <sheetViews>
    <sheetView workbookViewId="0">
      <selection activeCell="K114" sqref="K114"/>
    </sheetView>
  </sheetViews>
  <sheetFormatPr baseColWidth="10" defaultColWidth="11" defaultRowHeight="14.4"/>
  <cols>
    <col min="1" max="1" width="23" customWidth="1"/>
    <col min="2" max="2" width="18.332031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150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51.75" customHeight="1">
      <c r="A5" s="25"/>
      <c r="B5" s="82" t="s">
        <v>161</v>
      </c>
      <c r="C5" s="82" t="s">
        <v>162</v>
      </c>
      <c r="D5" s="82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44">
        <f>COUNTIF(Hospitalización!$AF$3:$AF$500,"8")</f>
        <v>0</v>
      </c>
      <c r="C6" s="44">
        <f>COUNTIF(Hospitalización!$AG$3:$AG$500,"8")</f>
        <v>0</v>
      </c>
      <c r="D6" s="44">
        <f>COUNTIF(Hospitalización!$AH$3:$AH$500,"8")</f>
        <v>0</v>
      </c>
      <c r="E6" s="44">
        <f>COUNTIF(Hospitalización!$AI$3:$AI$500,"8")</f>
        <v>0</v>
      </c>
      <c r="F6" s="44">
        <f>COUNTIF(Hospitalización!$AJ$3:$AJ$500,"8")</f>
        <v>0</v>
      </c>
      <c r="G6" s="44">
        <f>COUNTIF(Hospitalización!$AK$3:$AK$500,"8")</f>
        <v>0</v>
      </c>
      <c r="H6" s="25"/>
      <c r="I6" s="25"/>
    </row>
    <row r="7" spans="1:9">
      <c r="A7" s="5" t="s">
        <v>112</v>
      </c>
      <c r="B7" s="44">
        <f>COUNTIF(Hospitalización!$AF$3:$AF$500,"7")</f>
        <v>0</v>
      </c>
      <c r="C7" s="27">
        <f>COUNTIF(Hospitalización!$AG$3:$AG$500,"7")</f>
        <v>0</v>
      </c>
      <c r="D7" s="27">
        <f>COUNTIF(Hospitalización!$AH$3:$AH$500,"7")</f>
        <v>0</v>
      </c>
      <c r="E7" s="27">
        <f>COUNTIF(Hospitalización!$AI$3:$AI$500,"7")</f>
        <v>0</v>
      </c>
      <c r="F7" s="27">
        <f>COUNTIF(Hospitalización!$AJ$3:$AJ$500,"7")</f>
        <v>0</v>
      </c>
      <c r="G7" s="27">
        <f>COUNTIF(Hospitalización!$AK$3:$AK$500,"7")</f>
        <v>0</v>
      </c>
      <c r="H7" s="25"/>
      <c r="I7" s="25"/>
    </row>
    <row r="8" spans="1:9">
      <c r="A8" s="77" t="s">
        <v>113</v>
      </c>
      <c r="B8" s="27">
        <f>COUNTIF(Hospitalización!$AF$3:$AF$500,"6")</f>
        <v>0</v>
      </c>
      <c r="C8" s="27">
        <f>COUNTIF(Hospitalización!$AG$3:$AG$500,"6")</f>
        <v>47</v>
      </c>
      <c r="D8" s="27">
        <f>COUNTIF(Hospitalización!$AH$3:$AH$500,"6")</f>
        <v>0</v>
      </c>
      <c r="E8" s="27">
        <f>COUNTIF(Hospitalización!$AI$3:$AI$500,"6")</f>
        <v>1</v>
      </c>
      <c r="F8" s="27">
        <f>COUNTIF(Hospitalización!$AJ$3:$AJ$500,"6")</f>
        <v>0</v>
      </c>
      <c r="G8" s="27">
        <f>COUNTIF(Hospitalización!$AK$3:$AK$500,"6")</f>
        <v>35</v>
      </c>
      <c r="H8" s="25"/>
      <c r="I8" s="25"/>
    </row>
    <row r="9" spans="1:9">
      <c r="A9" s="77" t="s">
        <v>114</v>
      </c>
      <c r="B9" s="27">
        <f>COUNTIF(Hospitalización!$AF$3:$AF$500,"5")</f>
        <v>49</v>
      </c>
      <c r="C9" s="27">
        <f>COUNTIF(Hospitalización!$AG$3:$AG$500,"5")</f>
        <v>2</v>
      </c>
      <c r="D9" s="27">
        <f>COUNTIF(Hospitalización!$AH$3:$AH$500,"5")</f>
        <v>49</v>
      </c>
      <c r="E9" s="27">
        <f>COUNTIF(Hospitalización!$AI$3:$AI$500,"5")</f>
        <v>48</v>
      </c>
      <c r="F9" s="27">
        <f>COUNTIF(Hospitalización!$AJ$3:$AJ$500,"5")</f>
        <v>48</v>
      </c>
      <c r="G9" s="27">
        <f>COUNTIF(Hospitalización!$AK$3:$AK$500,"5")</f>
        <v>14</v>
      </c>
      <c r="H9" s="25"/>
      <c r="I9" s="25"/>
    </row>
    <row r="10" spans="1:9">
      <c r="A10" s="77" t="s">
        <v>115</v>
      </c>
      <c r="B10" s="27">
        <f>COUNTIF(Hospitalización!$AF$3:$AF$500,"4")</f>
        <v>0</v>
      </c>
      <c r="C10" s="27">
        <f>COUNTIF(Hospitalización!$AG$3:$AG$500,"4")</f>
        <v>0</v>
      </c>
      <c r="D10" s="27">
        <f>COUNTIF(Hospitalización!$AH$3:$AH$500,"4")</f>
        <v>0</v>
      </c>
      <c r="E10" s="27">
        <f>COUNTIF(Hospitalización!$AI$3:$AI$500,"4")</f>
        <v>0</v>
      </c>
      <c r="F10" s="27">
        <f>COUNTIF(Hospitalización!$AJ$3:$AJ$500,"4")</f>
        <v>1</v>
      </c>
      <c r="G10" s="27">
        <f>COUNTIF(Hospitalización!$AK$3:$AK$500,"4")</f>
        <v>0</v>
      </c>
      <c r="H10" s="25"/>
      <c r="I10" s="25"/>
    </row>
    <row r="11" spans="1:9">
      <c r="A11" s="77" t="s">
        <v>116</v>
      </c>
      <c r="B11" s="27">
        <f>COUNTIF(Hospitalización!$AF$3:$AF$500,"3")</f>
        <v>0</v>
      </c>
      <c r="C11" s="27">
        <f>COUNTIF(Hospitalización!$AG$3:$AG$500,"3")</f>
        <v>0</v>
      </c>
      <c r="D11" s="27">
        <f>COUNTIF(Hospitalización!$AH$3:$AH$500,"3")</f>
        <v>0</v>
      </c>
      <c r="E11" s="27">
        <f>COUNTIF(Hospitalización!$AI$3:$AI$500,"3")</f>
        <v>0</v>
      </c>
      <c r="F11" s="27">
        <f>COUNTIF(Hospitalización!$AJ$3:$AJ$500,"3")</f>
        <v>0</v>
      </c>
      <c r="G11" s="27">
        <f>COUNTIF(Hospitalización!$AK$3:$AK$500,"3")</f>
        <v>0</v>
      </c>
      <c r="H11" s="25"/>
      <c r="I11" s="25"/>
    </row>
    <row r="12" spans="1:9">
      <c r="A12" s="77" t="s">
        <v>117</v>
      </c>
      <c r="B12" s="27">
        <f>COUNTIF(Hospitalización!$AF$3:$AF$500,"2")</f>
        <v>0</v>
      </c>
      <c r="C12" s="27">
        <f>COUNTIF(Hospitalización!$AG$3:$AG$500,"2")</f>
        <v>0</v>
      </c>
      <c r="D12" s="27">
        <f>COUNTIF(Hospitalización!$AH$3:$AH$500,"2")</f>
        <v>0</v>
      </c>
      <c r="E12" s="27">
        <f>COUNTIF(Hospitalización!$AI$3:$AI$500,"2")</f>
        <v>0</v>
      </c>
      <c r="F12" s="27">
        <f>COUNTIF(Hospitalización!$AJ$3:$AJ$500,"2")</f>
        <v>0</v>
      </c>
      <c r="G12" s="27">
        <f>COUNTIF(Hospitalización!$AK$3:$AK$500,"2")</f>
        <v>0</v>
      </c>
      <c r="H12" s="25"/>
      <c r="I12" s="25"/>
    </row>
    <row r="13" spans="1:9">
      <c r="A13" s="77" t="s">
        <v>118</v>
      </c>
      <c r="B13" s="27">
        <f>COUNTIF(Hospitalización!$AF$3:$AF$500,"1")</f>
        <v>0</v>
      </c>
      <c r="C13" s="27">
        <f>COUNTIF(Hospitalización!$AG$3:$AG$500,"1")</f>
        <v>0</v>
      </c>
      <c r="D13" s="27">
        <f>COUNTIF(Hospitalización!$AH$3:$AH$500,"1")</f>
        <v>0</v>
      </c>
      <c r="E13" s="27">
        <f>COUNTIF(Hospitalización!$AI$3:$AI$500,"1")</f>
        <v>0</v>
      </c>
      <c r="F13" s="27">
        <f>COUNTIF(Hospitalización!$AJ$3:$AJ$500,"1")</f>
        <v>0</v>
      </c>
      <c r="G13" s="27">
        <f>COUNTIF(Hospitalización!$AK$3:$AK$500,"1")</f>
        <v>0</v>
      </c>
      <c r="H13" s="25"/>
      <c r="I13" s="25"/>
    </row>
    <row r="14" spans="1:9">
      <c r="A14" s="25"/>
      <c r="B14" s="17">
        <f t="shared" ref="B14:G14" si="0">SUM(B6:B13)</f>
        <v>49</v>
      </c>
      <c r="C14" s="17">
        <f t="shared" si="0"/>
        <v>49</v>
      </c>
      <c r="D14" s="17">
        <f t="shared" si="0"/>
        <v>49</v>
      </c>
      <c r="E14" s="17">
        <f t="shared" si="0"/>
        <v>49</v>
      </c>
      <c r="F14" s="17">
        <f t="shared" si="0"/>
        <v>49</v>
      </c>
      <c r="G14" s="17">
        <f t="shared" si="0"/>
        <v>49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General",Hospitalización!$AF$3:$AF$500,8)</f>
        <v>0</v>
      </c>
      <c r="C19" s="27">
        <f>COUNTIFS(Hospitalización!$M$3:$M$500,"Hospitalización General",Hospitalización!$AG$3:$AG$500,8)</f>
        <v>0</v>
      </c>
      <c r="D19" s="27">
        <f>COUNTIFS(Hospitalización!$M$3:$M$500,"Hospitalización General",Hospitalización!$AH$3:$AH$500,8)</f>
        <v>0</v>
      </c>
      <c r="E19" s="27">
        <f>COUNTIFS(Hospitalización!$M$3:$M$500,"Hospitalización General",Hospitalización!$AI$3:$AI$500,8)</f>
        <v>0</v>
      </c>
      <c r="F19" s="27">
        <f>COUNTIFS(Hospitalización!$M$3:$M$500,"Hospitalización General",Hospitalización!$AJ$3:$AJ$500,8)</f>
        <v>0</v>
      </c>
      <c r="G19" s="27">
        <f>COUNTIFS(Hospitalización!$M$3:$M$500,"Hospitalización General",Hospitalización!$AK$3:$AK$500,8)</f>
        <v>0</v>
      </c>
    </row>
    <row r="20" spans="1:7">
      <c r="A20" s="5" t="s">
        <v>112</v>
      </c>
      <c r="B20" s="27">
        <f>COUNTIFS(Hospitalización!$M$3:$M$500,"Hospitalización General",Hospitalización!$AF$3:$AF$500,7)</f>
        <v>0</v>
      </c>
      <c r="C20" s="27">
        <f>COUNTIFS(Hospitalización!$M$3:$M$500,"Hospitalización General",Hospitalización!$AG$3:$AG$500,7)</f>
        <v>0</v>
      </c>
      <c r="D20" s="27">
        <f>COUNTIFS(Hospitalización!$M$3:$M$500,"Hospitalización General",Hospitalización!$AH$3:$AH$500,7)</f>
        <v>0</v>
      </c>
      <c r="E20" s="27">
        <f>COUNTIFS(Hospitalización!$M$3:$M$500,"Hospitalización General",Hospitalización!$AI$3:$AI$500,7)</f>
        <v>0</v>
      </c>
      <c r="F20" s="27">
        <f>COUNTIFS(Hospitalización!$M$3:$M$500,"Hospitalización General",Hospitalización!$AJ$3:$AJ$500,7)</f>
        <v>0</v>
      </c>
      <c r="G20" s="27">
        <f>COUNTIFS(Hospitalización!$M$3:$M$500,"Hospitalización General",Hospitalización!$AK$3:$AK$500,7)</f>
        <v>0</v>
      </c>
    </row>
    <row r="21" spans="1:7">
      <c r="A21" s="77" t="s">
        <v>113</v>
      </c>
      <c r="B21" s="27">
        <f>COUNTIFS(Hospitalización!$M$3:$M$500,"Hospitalización General",Hospitalización!$AF$3:$AF$500,6)</f>
        <v>0</v>
      </c>
      <c r="C21" s="27">
        <f>COUNTIFS(Hospitalización!$M$3:$M$500,"Hospitalización General",Hospitalización!$AG$3:$AG$500,6)</f>
        <v>6</v>
      </c>
      <c r="D21" s="27">
        <f>COUNTIFS(Hospitalización!$M$3:$M$500,"Hospitalización General",Hospitalización!$AH$3:$AH$500,6)</f>
        <v>0</v>
      </c>
      <c r="E21" s="27">
        <f>COUNTIFS(Hospitalización!$M$3:$M$500,"Hospitalización General",Hospitalización!$AI$3:$AI$500,6)</f>
        <v>0</v>
      </c>
      <c r="F21" s="27">
        <f>COUNTIFS(Hospitalización!$M$3:$M$500,"Hospitalización General",Hospitalización!$AJ$3:$AJ$500,6)</f>
        <v>0</v>
      </c>
      <c r="G21" s="27">
        <f>COUNTIFS(Hospitalización!$M$3:$M$500,"Hospitalización General",Hospitalización!$AK$3:$AK$500,6)</f>
        <v>6</v>
      </c>
    </row>
    <row r="22" spans="1:7">
      <c r="A22" s="77" t="s">
        <v>114</v>
      </c>
      <c r="B22" s="27">
        <f>COUNTIFS(Hospitalización!$M$3:$M$500,"Hospitalización General",Hospitalización!$AF$3:$AF$500,5)</f>
        <v>7</v>
      </c>
      <c r="C22" s="27">
        <f>COUNTIFS(Hospitalización!$M$3:$M$500,"Hospitalización General",Hospitalización!$AG$3:$AG$500,5)</f>
        <v>1</v>
      </c>
      <c r="D22" s="27">
        <f>COUNTIFS(Hospitalización!$M$3:$M$500,"Hospitalización General",Hospitalización!$AH$3:$AH$500,5)</f>
        <v>7</v>
      </c>
      <c r="E22" s="27">
        <f>COUNTIFS(Hospitalización!$M$3:$M$500,"Hospitalización General",Hospitalización!$AI$3:$AI$500,5)</f>
        <v>7</v>
      </c>
      <c r="F22" s="27">
        <f>COUNTIFS(Hospitalización!$M$3:$M$500,"Hospitalización General",Hospitalización!$AJ$3:$AJ$500,5)</f>
        <v>7</v>
      </c>
      <c r="G22" s="27">
        <f>COUNTIFS(Hospitalización!$M$3:$M$500,"Hospitalización General",Hospitalización!$AK$3:$AK$500,5)</f>
        <v>1</v>
      </c>
    </row>
    <row r="23" spans="1:7">
      <c r="A23" s="77" t="s">
        <v>115</v>
      </c>
      <c r="B23" s="27">
        <f>COUNTIFS(Hospitalización!$M$3:$M$500,"Hospitalización General",Hospitalización!$AF$3:$AF$500,4)</f>
        <v>0</v>
      </c>
      <c r="C23" s="27">
        <f>COUNTIFS(Hospitalización!$M$3:$M$500,"Hospitalización General",Hospitalización!$AG$3:$AG$500,4)</f>
        <v>0</v>
      </c>
      <c r="D23" s="27">
        <f>COUNTIFS(Hospitalización!$M$3:$M$500,"Hospitalización General",Hospitalización!$AH$3:$AH$500,4)</f>
        <v>0</v>
      </c>
      <c r="E23" s="27">
        <f>COUNTIFS(Hospitalización!$M$3:$M$500,"Hospitalización General",Hospitalización!$AI$3:$AI$500,4)</f>
        <v>0</v>
      </c>
      <c r="F23" s="27">
        <f>COUNTIFS(Hospitalización!$M$3:$M$500,"Hospitalización General",Hospitalización!$AJ$3:$AJ$500,4)</f>
        <v>0</v>
      </c>
      <c r="G23" s="27">
        <f>COUNTIFS(Hospitalización!$M$3:$M$500,"Hospitalización General",Hospitalización!$AK$3:$AK$500,4)</f>
        <v>0</v>
      </c>
    </row>
    <row r="24" spans="1:7">
      <c r="A24" s="77" t="s">
        <v>116</v>
      </c>
      <c r="B24" s="27">
        <f>COUNTIFS(Hospitalización!$M$3:$M$500,"Hospitalización General",Hospitalización!$AF$3:$AF$500,3)</f>
        <v>0</v>
      </c>
      <c r="C24" s="27">
        <f>COUNTIFS(Hospitalización!$M$3:$M$500,"Hospitalización General",Hospitalización!$AG$3:$AG$500,3)</f>
        <v>0</v>
      </c>
      <c r="D24" s="27">
        <f>COUNTIFS(Hospitalización!$M$3:$M$500,"Hospitalización General",Hospitalización!$AH$3:$AH$500,3)</f>
        <v>0</v>
      </c>
      <c r="E24" s="27">
        <f>COUNTIFS(Hospitalización!$M$3:$M$500,"Hospitalización General",Hospitalización!$AI$3:$AI$500,3)</f>
        <v>0</v>
      </c>
      <c r="F24" s="27">
        <f>COUNTIFS(Hospitalización!$M$3:$M$500,"Hospitalización General",Hospitalización!$AJ$3:$AJ$500,3)</f>
        <v>0</v>
      </c>
      <c r="G24" s="27">
        <f>COUNTIFS(Hospitalización!$M$3:$M$500,"Hospitalización General",Hospitalización!$AK$3:$AK$500,3)</f>
        <v>0</v>
      </c>
    </row>
    <row r="25" spans="1:7">
      <c r="A25" s="77" t="s">
        <v>117</v>
      </c>
      <c r="B25" s="27">
        <f>COUNTIFS(Hospitalización!$M$3:$M$500,"Hospitalización General",Hospitalización!$AF$3:$AF$500,2)</f>
        <v>0</v>
      </c>
      <c r="C25" s="27">
        <f>COUNTIFS(Hospitalización!$M$3:$M$500,"Hospitalización General",Hospitalización!$AG$3:$AG$500,2)</f>
        <v>0</v>
      </c>
      <c r="D25" s="27">
        <f>COUNTIFS(Hospitalización!$M$3:$M$500,"Hospitalización General",Hospitalización!$AH$3:$AH$500,2)</f>
        <v>0</v>
      </c>
      <c r="E25" s="27">
        <f>COUNTIFS(Hospitalización!$M$3:$M$500,"Hospitalización General",Hospitalización!$AI$3:$AI$500,2)</f>
        <v>0</v>
      </c>
      <c r="F25" s="27">
        <f>COUNTIFS(Hospitalización!$M$3:$M$500,"Hospitalización General",Hospitalización!$AJ$3:$AJ$500,2)</f>
        <v>0</v>
      </c>
      <c r="G25" s="27">
        <f>COUNTIFS(Hospitalización!$M$3:$M$500,"Hospitalización General",Hospitalización!$AK$3:$AK$500,2)</f>
        <v>0</v>
      </c>
    </row>
    <row r="26" spans="1:7">
      <c r="A26" s="77" t="s">
        <v>118</v>
      </c>
      <c r="B26" s="27">
        <f>COUNTIFS(Hospitalización!$M$3:$M$500,"Hospitalización General",Hospitalización!$AF$3:$AF$500,1)</f>
        <v>0</v>
      </c>
      <c r="C26" s="27">
        <f>COUNTIFS(Hospitalización!$M$3:$M$500,"Hospitalización General",Hospitalización!$AG$3:$AG$500,1)</f>
        <v>0</v>
      </c>
      <c r="D26" s="27">
        <f>COUNTIFS(Hospitalización!$M$3:$M$500,"Hospitalización General",Hospitalización!$AH$3:$AH$500,1)</f>
        <v>0</v>
      </c>
      <c r="E26" s="27">
        <f>COUNTIFS(Hospitalización!$M$3:$M$500,"Hospitalización General",Hospitalización!$AI$3:$AI$500,1)</f>
        <v>0</v>
      </c>
      <c r="F26" s="27">
        <f>COUNTIFS(Hospitalización!$M$3:$M$500,"Hospitalización General",Hospitalización!$AJ$3:$AJ$500,1)</f>
        <v>0</v>
      </c>
      <c r="G26" s="27">
        <f>COUNTIFS(Hospitalización!$M$3:$M$500,"Hospitalización General",Hospitalización!$AK$3:$AK$500,1)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Ginecología",Hospitalización!$AF$3:$AF$500,8)</f>
        <v>0</v>
      </c>
      <c r="C32" s="27">
        <f>COUNTIFS(Hospitalización!$M$3:$M$500,"Hospitalización Ginecología",Hospitalización!$AG$3:$AG$500,8)</f>
        <v>0</v>
      </c>
      <c r="D32" s="27">
        <f>COUNTIFS(Hospitalización!$M$3:$M$500,"Hospitalización Ginecología",Hospitalización!$AH$3:$AH$500,8)</f>
        <v>0</v>
      </c>
      <c r="E32" s="27">
        <f>COUNTIFS(Hospitalización!$M$3:$M$500,"Hospitalización Ginecología",Hospitalización!$AI$3:$AI$500,8)</f>
        <v>0</v>
      </c>
      <c r="F32" s="27">
        <f>COUNTIFS(Hospitalización!$M$3:$M$500,"Hospitalización Ginecología",Hospitalización!$AJ$3:$AJ$500,8)</f>
        <v>0</v>
      </c>
      <c r="G32" s="27">
        <f>COUNTIFS(Hospitalización!$M$3:$M$500,"Hospitalización Ginecología",Hospitalización!$AK$3:$AK$500,8)</f>
        <v>0</v>
      </c>
    </row>
    <row r="33" spans="1:7">
      <c r="A33" s="5" t="s">
        <v>112</v>
      </c>
      <c r="B33" s="27">
        <f>COUNTIFS(Hospitalización!$M$3:$M$500,"Hospitalización Ginecología",Hospitalización!$AF$3:$AF$500,7)</f>
        <v>0</v>
      </c>
      <c r="C33" s="27">
        <f>COUNTIFS(Hospitalización!$M$3:$M$500,"Hospitalización Ginecología",Hospitalización!$AG$3:$AG$500,7)</f>
        <v>0</v>
      </c>
      <c r="D33" s="27">
        <f>COUNTIFS(Hospitalización!$M$3:$M$500,"Hospitalización Ginecología",Hospitalización!$AH$3:$AH$500,7)</f>
        <v>0</v>
      </c>
      <c r="E33" s="27">
        <f>COUNTIFS(Hospitalización!$M$3:$M$500,"Hospitalización Ginecología",Hospitalización!$AI$3:$AI$500,7)</f>
        <v>0</v>
      </c>
      <c r="F33" s="27">
        <f>COUNTIFS(Hospitalización!$M$3:$M$500,"Hospitalización Ginecología",Hospitalización!$AJ$3:$AJ$500,7)</f>
        <v>0</v>
      </c>
      <c r="G33" s="27">
        <f>COUNTIFS(Hospitalización!$M$3:$M$500,"Hospitalización Ginecología",Hospitalización!$AK$3:$AK$500,7)</f>
        <v>0</v>
      </c>
    </row>
    <row r="34" spans="1:7">
      <c r="A34" s="77" t="s">
        <v>113</v>
      </c>
      <c r="B34" s="27">
        <f>COUNTIFS(Hospitalización!$M$3:$M$500,"Hospitalización Ginecología",Hospitalización!$AF$3:$AF$500,6)</f>
        <v>0</v>
      </c>
      <c r="C34" s="27">
        <f>COUNTIFS(Hospitalización!$M$3:$M$500,"Hospitalización Ginecología",Hospitalización!$AG$3:$AG$500,6)</f>
        <v>7</v>
      </c>
      <c r="D34" s="27">
        <f>COUNTIFS(Hospitalización!$M$3:$M$500,"Hospitalización Ginecología",Hospitalización!$AH$3:$AH$500,6)</f>
        <v>0</v>
      </c>
      <c r="E34" s="27">
        <f>COUNTIFS(Hospitalización!$M$3:$M$500,"Hospitalización Ginecología",Hospitalización!$AI$3:$AI$500,6)</f>
        <v>0</v>
      </c>
      <c r="F34" s="27">
        <f>COUNTIFS(Hospitalización!$M$3:$M$500,"Hospitalización Ginecología",Hospitalización!$AJ$3:$AJ$500,6)</f>
        <v>0</v>
      </c>
      <c r="G34" s="27">
        <f>COUNTIFS(Hospitalización!$M$3:$M$500,"Hospitalización Ginecología",Hospitalización!$AK$3:$AK$500,6)</f>
        <v>4</v>
      </c>
    </row>
    <row r="35" spans="1:7">
      <c r="A35" s="77" t="s">
        <v>114</v>
      </c>
      <c r="B35" s="27">
        <f>COUNTIFS(Hospitalización!$M$3:$M$500,"Hospitalización Ginecología",Hospitalización!$AF$3:$AF$500,5)</f>
        <v>7</v>
      </c>
      <c r="C35" s="27">
        <f>COUNTIFS(Hospitalización!$M$3:$M$500,"Hospitalización Ginecología",Hospitalización!$AG$3:$AG$500,5)</f>
        <v>0</v>
      </c>
      <c r="D35" s="27">
        <f>COUNTIFS(Hospitalización!$M$3:$M$500,"Hospitalización Ginecología",Hospitalización!$AH$3:$AH$500,5)</f>
        <v>7</v>
      </c>
      <c r="E35" s="27">
        <f>COUNTIFS(Hospitalización!$M$3:$M$500,"Hospitalización Ginecología",Hospitalización!$AI$3:$AI$500,5)</f>
        <v>7</v>
      </c>
      <c r="F35" s="27">
        <f>COUNTIFS(Hospitalización!$M$3:$M$500,"Hospitalización Ginecología",Hospitalización!$AJ$3:$AJ$500,5)</f>
        <v>7</v>
      </c>
      <c r="G35" s="27">
        <f>COUNTIFS(Hospitalización!$M$3:$M$500,"Hospitalización Ginecología",Hospitalización!$AK$3:$AK$500,5)</f>
        <v>3</v>
      </c>
    </row>
    <row r="36" spans="1:7">
      <c r="A36" s="77" t="s">
        <v>115</v>
      </c>
      <c r="B36" s="27">
        <f>COUNTIFS(Hospitalización!$M$3:$M$500,"Hospitalización Ginecología",Hospitalización!$AF$3:$AF$500,4)</f>
        <v>0</v>
      </c>
      <c r="C36" s="27">
        <f>COUNTIFS(Hospitalización!$M$3:$M$500,"Hospitalización Ginecología",Hospitalización!$AG$3:$AG$500,4)</f>
        <v>0</v>
      </c>
      <c r="D36" s="27">
        <f>COUNTIFS(Hospitalización!$M$3:$M$500,"Hospitalización Ginecología",Hospitalización!$AH$3:$AH$500,4)</f>
        <v>0</v>
      </c>
      <c r="E36" s="27">
        <f>COUNTIFS(Hospitalización!$M$3:$M$500,"Hospitalización Ginecología",Hospitalización!$AI$3:$AI$500,4)</f>
        <v>0</v>
      </c>
      <c r="F36" s="27">
        <f>COUNTIFS(Hospitalización!$M$3:$M$500,"Hospitalización Ginecología",Hospitalización!$AJ$3:$AJ$500,4)</f>
        <v>0</v>
      </c>
      <c r="G36" s="27">
        <f>COUNTIFS(Hospitalización!$M$3:$M$500,"Hospitalización Ginecología",Hospitalización!$AK$3:$AK$500,4)</f>
        <v>0</v>
      </c>
    </row>
    <row r="37" spans="1:7">
      <c r="A37" s="77" t="s">
        <v>116</v>
      </c>
      <c r="B37" s="27">
        <f>COUNTIFS(Hospitalización!$M$3:$M$500,"Hospitalización Ginecología",Hospitalización!$AF$3:$AF$500,3)</f>
        <v>0</v>
      </c>
      <c r="C37" s="27">
        <f>COUNTIFS(Hospitalización!$M$3:$M$500,"Hospitalización Ginecología",Hospitalización!$AG$3:$AG$500,3)</f>
        <v>0</v>
      </c>
      <c r="D37" s="27">
        <f>COUNTIFS(Hospitalización!$M$3:$M$500,"Hospitalización Ginecología",Hospitalización!$AH$3:$AH$500,3)</f>
        <v>0</v>
      </c>
      <c r="E37" s="27">
        <f>COUNTIFS(Hospitalización!$M$3:$M$500,"Hospitalización Ginecología",Hospitalización!$AI$3:$AI$500,3)</f>
        <v>0</v>
      </c>
      <c r="F37" s="27">
        <f>COUNTIFS(Hospitalización!$M$3:$M$500,"Hospitalización Ginecología",Hospitalización!$AJ$3:$AJ$500,3)</f>
        <v>0</v>
      </c>
      <c r="G37" s="27">
        <f>COUNTIFS(Hospitalización!$M$3:$M$500,"Hospitalización Ginecología",Hospitalización!$AK$3:$AK$500,3)</f>
        <v>0</v>
      </c>
    </row>
    <row r="38" spans="1:7">
      <c r="A38" s="77" t="s">
        <v>117</v>
      </c>
      <c r="B38" s="27">
        <f>COUNTIFS(Hospitalización!$M$3:$M$500,"Hospitalización Ginecología",Hospitalización!$AF$3:$AF$500,2)</f>
        <v>0</v>
      </c>
      <c r="C38" s="27">
        <f>COUNTIFS(Hospitalización!$M$3:$M$500,"Hospitalización Ginecología",Hospitalización!$AG$3:$AG$500,2)</f>
        <v>0</v>
      </c>
      <c r="D38" s="27">
        <f>COUNTIFS(Hospitalización!$M$3:$M$500,"Hospitalización Ginecología",Hospitalización!$AH$3:$AH$500,2)</f>
        <v>0</v>
      </c>
      <c r="E38" s="27">
        <f>COUNTIFS(Hospitalización!$M$3:$M$500,"Hospitalización Ginecología",Hospitalización!$AI$3:$AI$500,2)</f>
        <v>0</v>
      </c>
      <c r="F38" s="27">
        <f>COUNTIFS(Hospitalización!$M$3:$M$500,"Hospitalización Ginecología",Hospitalización!$AJ$3:$AJ$500,2)</f>
        <v>0</v>
      </c>
      <c r="G38" s="27">
        <f>COUNTIFS(Hospitalización!$M$3:$M$500,"Hospitalización Ginecología",Hospitalización!$AK$3:$AK$500,2)</f>
        <v>0</v>
      </c>
    </row>
    <row r="39" spans="1:7">
      <c r="A39" s="77" t="s">
        <v>118</v>
      </c>
      <c r="B39" s="27">
        <f>COUNTIFS(Hospitalización!$M$3:$M$500,"Hospitalización Ginecología",Hospitalización!$AF$3:$AF$500,1)</f>
        <v>0</v>
      </c>
      <c r="C39" s="27">
        <f>COUNTIFS(Hospitalización!$M$3:$M$500,"Hospitalización Ginecología",Hospitalización!$AG$3:$AG$500,1)</f>
        <v>0</v>
      </c>
      <c r="D39" s="27">
        <f>COUNTIFS(Hospitalización!$M$3:$M$500,"Hospitalización Ginecología",Hospitalización!$AH$3:$AH$500,1)</f>
        <v>0</v>
      </c>
      <c r="E39" s="27">
        <f>COUNTIFS(Hospitalización!$M$3:$M$500,"Hospitalización Ginecología",Hospitalización!$AI$3:$AI$500,1)</f>
        <v>0</v>
      </c>
      <c r="F39" s="27">
        <f>COUNTIFS(Hospitalización!$M$3:$M$500,"Hospitalización Ginecología",Hospitalización!$AJ$3:$AJ$500,1)</f>
        <v>0</v>
      </c>
      <c r="G39" s="27">
        <f>COUNTIFS(Hospitalización!$M$3:$M$500,"Hospitalización Ginecología",Hospitalización!$AK$3:$AK$500,1)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Interna",Hospitalización!$AF$3:$AF$500,8)</f>
        <v>0</v>
      </c>
      <c r="C45" s="27">
        <f>COUNTIFS(Hospitalización!$M$3:$M$500,"Hospitalización Medicina Interna",Hospitalización!$AG$3:$AG$500,8)</f>
        <v>0</v>
      </c>
      <c r="D45" s="27">
        <f>COUNTIFS(Hospitalización!$M$3:$M$500,"Hospitalización Medicina Interna",Hospitalización!$AH$3:$AH$500,8)</f>
        <v>0</v>
      </c>
      <c r="E45" s="27">
        <f>COUNTIFS(Hospitalización!$M$3:$M$500,"Hospitalización Medicina Interna",Hospitalización!$AI$3:$AI$500,8)</f>
        <v>0</v>
      </c>
      <c r="F45" s="27">
        <f>COUNTIFS(Hospitalización!$M$3:$M$500,"Hospitalización Medicina Interna",Hospitalización!$AJ$3:$AJ$500,8)</f>
        <v>0</v>
      </c>
      <c r="G45" s="27">
        <f>COUNTIFS(Hospitalización!$M$3:$M$500,"Hospitalización Medicina Interna",Hospitalización!$AK$3:$AK$500,8)</f>
        <v>0</v>
      </c>
    </row>
    <row r="46" spans="1:7">
      <c r="A46" s="5" t="s">
        <v>112</v>
      </c>
      <c r="B46" s="27">
        <f>COUNTIFS(Hospitalización!$M$3:$M$500,"Hospitalización Medicina Interna",Hospitalización!$AF$3:$AF500,7)</f>
        <v>0</v>
      </c>
      <c r="C46" s="27">
        <f>COUNTIFS(Hospitalización!$M$3:$M$500,"Hospitalización Medicina Interna",Hospitalización!$AG$3:$AG$500,7)</f>
        <v>0</v>
      </c>
      <c r="D46" s="27">
        <f>COUNTIFS(Hospitalización!$M$3:$M$500,"Hospitalización Medicina Interna",Hospitalización!$AH$3:$AH$500,7)</f>
        <v>0</v>
      </c>
      <c r="E46" s="27">
        <f>COUNTIFS(Hospitalización!$M$3:$M$500,"Hospitalización Medicina Interna",Hospitalización!$AI$3:$AI$500,7)</f>
        <v>0</v>
      </c>
      <c r="F46" s="27">
        <f>COUNTIFS(Hospitalización!$M$3:$M$500,"Hospitalización Medicina Interna",Hospitalización!$AJ$3:$AJ$500,7)</f>
        <v>0</v>
      </c>
      <c r="G46" s="27">
        <f>COUNTIFS(Hospitalización!$M$3:$M$500,"Hospitalización Medicina Interna",Hospitalización!$AK$3:$AK$500,7)</f>
        <v>0</v>
      </c>
    </row>
    <row r="47" spans="1:7">
      <c r="A47" s="77" t="s">
        <v>113</v>
      </c>
      <c r="B47" s="27">
        <f>COUNTIFS(Hospitalización!$M$3:$M$500,"Hospitalización Medicina Interna",Hospitalización!$AF$3:$AF$500,6)</f>
        <v>0</v>
      </c>
      <c r="C47" s="27">
        <f>COUNTIFS(Hospitalización!$M$3:$M$500,"Hospitalización Medicina Interna",Hospitalización!$AG$3:$AG$500,6)</f>
        <v>7</v>
      </c>
      <c r="D47" s="27">
        <f>COUNTIFS(Hospitalización!$M$3:$M$500,"Hospitalización Medicina Interna",Hospitalización!$AH$3:$AH$500,6)</f>
        <v>0</v>
      </c>
      <c r="E47" s="27">
        <f>COUNTIFS(Hospitalización!$M$3:$M$500,"Hospitalización Medicina Interna",Hospitalización!$AI$3:$AI$500,6)</f>
        <v>0</v>
      </c>
      <c r="F47" s="27">
        <f>COUNTIFS(Hospitalización!$M$3:$M$500,"Hospitalización Medicina Interna",Hospitalización!$AJ$3:$AJ$500,6)</f>
        <v>0</v>
      </c>
      <c r="G47" s="27">
        <f>COUNTIFS(Hospitalización!$M$3:$M$500,"Hospitalización Medicina Interna",Hospitalización!$AK$3:$AK$500,6)</f>
        <v>7</v>
      </c>
    </row>
    <row r="48" spans="1:7">
      <c r="A48" s="77" t="s">
        <v>114</v>
      </c>
      <c r="B48" s="27">
        <f>COUNTIFS(Hospitalización!$M$3:$M$500,"Hospitalización Medicina Interna",Hospitalización!$AF$3:$AF$500,5)</f>
        <v>7</v>
      </c>
      <c r="C48" s="27">
        <f>COUNTIFS(Hospitalización!$M$3:$M$500,"Hospitalización Medicina Interna",Hospitalización!$AG$3:$AG$500,5)</f>
        <v>0</v>
      </c>
      <c r="D48" s="27">
        <f>COUNTIFS(Hospitalización!$M$3:$M$500,"Hospitalización Medicina Interna",Hospitalización!$AH$3:$AH$500,5)</f>
        <v>7</v>
      </c>
      <c r="E48" s="27">
        <f>COUNTIFS(Hospitalización!$M$3:$M$500,"Hospitalización Medicina Interna",Hospitalización!$AI$3:$AI$500,5)</f>
        <v>7</v>
      </c>
      <c r="F48" s="27">
        <f>COUNTIFS(Hospitalización!$M$3:$M$500,"Hospitalización Medicina Interna",Hospitalización!$AJ$3:$AJ$500,5)</f>
        <v>7</v>
      </c>
      <c r="G48" s="27">
        <f>COUNTIFS(Hospitalización!$M$3:$M$500,"Hospitalización Medicina Interna",Hospitalización!$AK$3:$AK$500,5)</f>
        <v>0</v>
      </c>
    </row>
    <row r="49" spans="1:7">
      <c r="A49" s="77" t="s">
        <v>115</v>
      </c>
      <c r="B49" s="27">
        <f>COUNTIFS(Hospitalización!$M$3:$M$500,"Hospitalización Medicina Interna",Hospitalización!$AF$3:$AF$500,4)</f>
        <v>0</v>
      </c>
      <c r="C49" s="27">
        <f>COUNTIFS(Hospitalización!$M$3:$M$500,"Hospitalización Medicina Interna",Hospitalización!$AG$3:$AG$500,4)</f>
        <v>0</v>
      </c>
      <c r="D49" s="27">
        <f>COUNTIFS(Hospitalización!$M$3:$M$500,"Hospitalización Medicina Interna",Hospitalización!$AH$3:$AH$500,4)</f>
        <v>0</v>
      </c>
      <c r="E49" s="27">
        <f>COUNTIFS(Hospitalización!$M$3:$M$500,"Hospitalización Medicina Interna",Hospitalización!$AI$3:$AI$500,4)</f>
        <v>0</v>
      </c>
      <c r="F49" s="27">
        <f>COUNTIFS(Hospitalización!$M$3:$M$500,"Hospitalización Medicina Interna",Hospitalización!$AJ$3:$AJ$500,4)</f>
        <v>0</v>
      </c>
      <c r="G49" s="27">
        <f>COUNTIFS(Hospitalización!$M$3:$M$500,"Hospitalización Medicina Interna",Hospitalización!$AK$3:$AK$500,4)</f>
        <v>0</v>
      </c>
    </row>
    <row r="50" spans="1:7">
      <c r="A50" s="77" t="s">
        <v>116</v>
      </c>
      <c r="B50" s="27">
        <f>COUNTIFS(Hospitalización!$M$3:$M$500,"Hospitalización Medicina Interna",Hospitalización!$AF$3:$AF$500,3)</f>
        <v>0</v>
      </c>
      <c r="C50" s="27">
        <f>COUNTIFS(Hospitalización!$M$3:$M$500,"Hospitalización Medicina Interna",Hospitalización!$AG$3:$AG$500,3)</f>
        <v>0</v>
      </c>
      <c r="D50" s="27">
        <f>COUNTIFS(Hospitalización!$M$3:$M$500,"Hospitalización Medicina Interna",Hospitalización!$AH$3:$AH$500,3)</f>
        <v>0</v>
      </c>
      <c r="E50" s="27">
        <f>COUNTIFS(Hospitalización!$M$3:$M$500,"Hospitalización Medicina Interna",Hospitalización!$AI$3:$AI$500,3)</f>
        <v>0</v>
      </c>
      <c r="F50" s="27">
        <f>COUNTIFS(Hospitalización!$M$3:$M$500,"Hospitalización Medicina Interna",Hospitalización!$AJ$3:$AJ$500,3)</f>
        <v>0</v>
      </c>
      <c r="G50" s="27">
        <f>COUNTIFS(Hospitalización!$M$3:$M$500,"Hospitalización Medicina Interna",Hospitalización!$AK$3:$AK$500,3)</f>
        <v>0</v>
      </c>
    </row>
    <row r="51" spans="1:7">
      <c r="A51" s="77" t="s">
        <v>117</v>
      </c>
      <c r="B51" s="27">
        <f>COUNTIFS(Hospitalización!$M$3:$M$500,"Hospitalización Medicina Interna",Hospitalización!$AF$3:$AF$500,2)</f>
        <v>0</v>
      </c>
      <c r="C51" s="27">
        <f>COUNTIFS(Hospitalización!$M$3:$M$500,"Hospitalización Medicina Interna",Hospitalización!$AG$3:$AG$500,2)</f>
        <v>0</v>
      </c>
      <c r="D51" s="27">
        <f>COUNTIFS(Hospitalización!$M$3:$M$500,"Hospitalización Medicina Interna",Hospitalización!$AH$3:$AH$500,2)</f>
        <v>0</v>
      </c>
      <c r="E51" s="27">
        <f>COUNTIFS(Hospitalización!$M$3:$M$500,"Hospitalización Medicina Interna",Hospitalización!$AI$3:$AI$500,2)</f>
        <v>0</v>
      </c>
      <c r="F51" s="27">
        <f>COUNTIFS(Hospitalización!$M$3:$M$500,"Hospitalización Medicina Interna",Hospitalización!$AJ$3:$AJ$500,2)</f>
        <v>0</v>
      </c>
      <c r="G51" s="27">
        <f>COUNTIFS(Hospitalización!$M$3:$M$500,"Hospitalización Medicina Interna",Hospitalización!$AK$3:$AK$500,2)</f>
        <v>0</v>
      </c>
    </row>
    <row r="52" spans="1:7">
      <c r="A52" s="77" t="s">
        <v>118</v>
      </c>
      <c r="B52" s="27">
        <f>COUNTIFS(Hospitalización!$M$3:$M$500,"Hospitalización Medicina Interna",Hospitalización!$AF$3:$AF$500,1)</f>
        <v>0</v>
      </c>
      <c r="C52" s="27">
        <f>COUNTIFS(Hospitalización!$M$3:$M$500,"Hospitalización Medicina Interna",Hospitalización!$AG$3:$AG$500,1)</f>
        <v>0</v>
      </c>
      <c r="D52" s="27">
        <f>COUNTIFS(Hospitalización!$M$3:$M$500,"Hospitalización Medicina Interna",Hospitalización!$AH$3:$AH$500,1)</f>
        <v>0</v>
      </c>
      <c r="E52" s="27">
        <f>COUNTIFS(Hospitalización!$M$3:$M$500,"Hospitalización Medicina Interna",Hospitalización!$AI$3:$AI$500,1)</f>
        <v>0</v>
      </c>
      <c r="F52" s="27">
        <f>COUNTIFS(Hospitalización!$M$3:$M$500,"Hospitalización Medicina Interna",Hospitalización!$AJ$3:$AJ$500,1)</f>
        <v>0</v>
      </c>
      <c r="G52" s="27">
        <f>COUNTIFS(Hospitalización!$M$3:$M$500,"Hospitalización Medicina Interna",Hospitalización!$AK$3:$AK$500,1)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Pediatría",Hospitalización!$AF$3:$AF$500,8)</f>
        <v>0</v>
      </c>
      <c r="C58" s="27">
        <f>COUNTIFS(Hospitalización!$M$3:$M$500,"Hospitalización Pediatría",Hospitalización!$AG$3:$AG$500,8)</f>
        <v>0</v>
      </c>
      <c r="D58" s="27">
        <f>COUNTIFS(Hospitalización!$M$3:$M$500,"Hospitalización Pediatría",Hospitalización!$AH$3:$AH$500,8)</f>
        <v>0</v>
      </c>
      <c r="E58" s="27">
        <f>COUNTIFS(Hospitalización!$M$3:$M$500,"Hospitalización Pediatría",Hospitalización!$AI$3:$AI$500,8)</f>
        <v>0</v>
      </c>
      <c r="F58" s="27">
        <f>COUNTIFS(Hospitalización!$M$3:$M$500,"Hospitalización Pediatría",Hospitalización!$AJ$3:$AJ$500,8)</f>
        <v>0</v>
      </c>
      <c r="G58" s="27">
        <f>COUNTIFS(Hospitalización!$M$3:$M$500,"Hospitalización Pediatría",Hospitalización!$AK$3:$AK$500,8)</f>
        <v>0</v>
      </c>
    </row>
    <row r="59" spans="1:7">
      <c r="A59" s="5" t="s">
        <v>112</v>
      </c>
      <c r="B59" s="27">
        <f>COUNTIFS(Hospitalización!$M$3:$M$500,"Hospitalización Pediatría",Hospitalización!$AF$3:$AF$500,7)</f>
        <v>0</v>
      </c>
      <c r="C59" s="27">
        <f>COUNTIFS(Hospitalización!$M$3:$M$500,"Hospitalización Pediatría",Hospitalización!$AG$3:$AG$500,7)</f>
        <v>0</v>
      </c>
      <c r="D59" s="27">
        <f>COUNTIFS(Hospitalización!$M$3:$M$500,"Hospitalización Pediatría",Hospitalización!$AH$3:$AH$500,7)</f>
        <v>0</v>
      </c>
      <c r="E59" s="27">
        <f>COUNTIFS(Hospitalización!$M$3:$M$500,"Hospitalización Pediatría",Hospitalización!$AI$3:$AI$500,7)</f>
        <v>0</v>
      </c>
      <c r="F59" s="27">
        <f>COUNTIFS(Hospitalización!$M$3:$M$500,"Hospitalización Pediatría",Hospitalización!$AJ$3:$AJ$500,7)</f>
        <v>0</v>
      </c>
      <c r="G59" s="27">
        <f>COUNTIFS(Hospitalización!$M$3:$M$500,"Hospitalización Pediatría",Hospitalización!$AK$3:$AK$500,7)</f>
        <v>0</v>
      </c>
    </row>
    <row r="60" spans="1:7">
      <c r="A60" s="77" t="s">
        <v>113</v>
      </c>
      <c r="B60" s="27">
        <f>COUNTIFS(Hospitalización!$M$3:$M$500,"Hospitalización Pediatría",Hospitalización!$AF$3:$AF$500,6)</f>
        <v>0</v>
      </c>
      <c r="C60" s="27">
        <f>COUNTIFS(Hospitalización!$M$3:$M$500,"Hospitalización Pediatría",Hospitalización!$AG$3:$AG$500,6)</f>
        <v>7</v>
      </c>
      <c r="D60" s="27">
        <f>COUNTIFS(Hospitalización!$M$3:$M$500,"Hospitalización Pediatría",Hospitalización!$AH$3:$AH$500,6)</f>
        <v>0</v>
      </c>
      <c r="E60" s="27">
        <f>COUNTIFS(Hospitalización!$M$3:$M$500,"Hospitalización Pediatría",Hospitalización!$AI$3:$AI$500,6)</f>
        <v>1</v>
      </c>
      <c r="F60" s="27">
        <f>COUNTIFS(Hospitalización!$M$3:$M$500,"Hospitalización Pediatría",Hospitalización!$AJ$3:$AJ$500,6)</f>
        <v>0</v>
      </c>
      <c r="G60" s="27">
        <f>COUNTIFS(Hospitalización!$M$3:$M$500,"Hospitalización Pediatría",Hospitalización!$AK$3:$AK$500,6)</f>
        <v>7</v>
      </c>
    </row>
    <row r="61" spans="1:7">
      <c r="A61" s="77" t="s">
        <v>114</v>
      </c>
      <c r="B61" s="27">
        <f>COUNTIFS(Hospitalización!$M$3:$M$500,"Hospitalización Pediatría",Hospitalización!$AF$3:$AF$500,5)</f>
        <v>7</v>
      </c>
      <c r="C61" s="27">
        <f>COUNTIFS(Hospitalización!$M$3:$M$500,"Hospitalización Pediatría",Hospitalización!$AG$3:$AG$500,5)</f>
        <v>0</v>
      </c>
      <c r="D61" s="27">
        <f>COUNTIFS(Hospitalización!$M$3:$M$500,"Hospitalización Pediatría",Hospitalización!$AH$3:$AH$500,5)</f>
        <v>7</v>
      </c>
      <c r="E61" s="27">
        <f>COUNTIFS(Hospitalización!$M$3:$M$500,"Hospitalización Pediatría",Hospitalización!$AI$3:$AI$500,5)</f>
        <v>6</v>
      </c>
      <c r="F61" s="27">
        <f>COUNTIFS(Hospitalización!$M$3:$M$500,"Hospitalización Pediatría",Hospitalización!$AJ$3:$AJ$500,5)</f>
        <v>7</v>
      </c>
      <c r="G61" s="27">
        <f>COUNTIFS(Hospitalización!$M$3:$M$500,"Hospitalización Pediatría",Hospitalización!$AK$3:$AK$500,5)</f>
        <v>0</v>
      </c>
    </row>
    <row r="62" spans="1:7">
      <c r="A62" s="77" t="s">
        <v>115</v>
      </c>
      <c r="B62" s="27">
        <f>COUNTIFS(Hospitalización!$M$3:$M$500,"Hospitalización Pediatría",Hospitalización!$AF$3:$AF$500,4)</f>
        <v>0</v>
      </c>
      <c r="C62" s="27">
        <f>COUNTIFS(Hospitalización!$M$3:$M$500,"Hospitalización Pediatría",Hospitalización!$AG$3:$AG$500,4)</f>
        <v>0</v>
      </c>
      <c r="D62" s="27">
        <f>COUNTIFS(Hospitalización!$M$3:$M$500,"Hospitalización Pediatría",Hospitalización!$AH$3:$AH$500,4)</f>
        <v>0</v>
      </c>
      <c r="E62" s="27">
        <f>COUNTIFS(Hospitalización!$M$3:$M$500,"Hospitalización Pediatría",Hospitalización!$AI$3:$AI$500,4)</f>
        <v>0</v>
      </c>
      <c r="F62" s="27">
        <f>COUNTIFS(Hospitalización!$M$3:$M$500,"Hospitalización Pediatría",Hospitalización!$AJ$3:$AJ$500,4)</f>
        <v>0</v>
      </c>
      <c r="G62" s="27">
        <f>COUNTIFS(Hospitalización!$M$3:$M$500,"Hospitalización Pediatría",Hospitalización!$AK$3:$AK$500,4)</f>
        <v>0</v>
      </c>
    </row>
    <row r="63" spans="1:7">
      <c r="A63" s="77" t="s">
        <v>116</v>
      </c>
      <c r="B63" s="27">
        <f>COUNTIFS(Hospitalización!$M$3:$M$500,"Hospitalización Pediatría",Hospitalización!$AF$3:$AF$500,3)</f>
        <v>0</v>
      </c>
      <c r="C63" s="27">
        <f>COUNTIFS(Hospitalización!$M$3:$M$500,"Hospitalización Pediatría",Hospitalización!$AG$3:$AG$500,3)</f>
        <v>0</v>
      </c>
      <c r="D63" s="27">
        <f>COUNTIFS(Hospitalización!$M$3:$M$500,"Hospitalización Pediatría",Hospitalización!$AH$3:$AH$500,3)</f>
        <v>0</v>
      </c>
      <c r="E63" s="27">
        <f>COUNTIFS(Hospitalización!$M$3:$M$500,"Hospitalización Pediatría",Hospitalización!$AI$3:$AI$500,3)</f>
        <v>0</v>
      </c>
      <c r="F63" s="27">
        <f>COUNTIFS(Hospitalización!$M$3:$M$500,"Hospitalización Pediatría",Hospitalización!$AJ$3:$AJ$500,3)</f>
        <v>0</v>
      </c>
      <c r="G63" s="27">
        <f>COUNTIFS(Hospitalización!$M$3:$M$500,"Hospitalización Pediatría",Hospitalización!$AK$3:$AK$500,3)</f>
        <v>0</v>
      </c>
    </row>
    <row r="64" spans="1:7">
      <c r="A64" s="77" t="s">
        <v>117</v>
      </c>
      <c r="B64" s="27">
        <f>COUNTIFS(Hospitalización!$M$3:$M$500,"Hospitalización Pediatría",Hospitalización!$AF$3:$AF$500,2)</f>
        <v>0</v>
      </c>
      <c r="C64" s="27">
        <f>COUNTIFS(Hospitalización!$M$3:$M$500,"Hospitalización Pediatría",Hospitalización!$AG$3:$AG$500,2)</f>
        <v>0</v>
      </c>
      <c r="D64" s="27">
        <f>COUNTIFS(Hospitalización!$M$3:$M$500,"Hospitalización Pediatría",Hospitalización!$AH$3:$AH$500,2)</f>
        <v>0</v>
      </c>
      <c r="E64" s="27">
        <f>COUNTIFS(Hospitalización!$M$3:$M$500,"Hospitalización Pediatría",Hospitalización!$AI$3:$AI$500,2)</f>
        <v>0</v>
      </c>
      <c r="F64" s="27">
        <f>COUNTIFS(Hospitalización!$M$3:$M$500,"Hospitalización Pediatría",Hospitalización!$AJ$3:$AJ$500,2)</f>
        <v>0</v>
      </c>
      <c r="G64" s="27">
        <f>COUNTIFS(Hospitalización!$M$3:$M$500,"Hospitalización Pediatría",Hospitalización!$AK$3:$AK$500,2)</f>
        <v>0</v>
      </c>
    </row>
    <row r="65" spans="1:7">
      <c r="A65" s="77" t="s">
        <v>118</v>
      </c>
      <c r="B65" s="27">
        <f>COUNTIFS(Hospitalización!$M$3:$M$500,"Hospitalización Pediatría",Hospitalización!$AF$3:$AF$500,1)</f>
        <v>0</v>
      </c>
      <c r="C65" s="27">
        <f>COUNTIFS(Hospitalización!$M$3:$M$500,"Hospitalización Pediatría",Hospitalización!$AG$3:$AG$500,1)</f>
        <v>0</v>
      </c>
      <c r="D65" s="27">
        <f>COUNTIFS(Hospitalización!$M$3:$M$500,"Hospitalización Pediatría",Hospitalización!$AH$3:$AH$500,1)</f>
        <v>0</v>
      </c>
      <c r="E65" s="27">
        <f>COUNTIFS(Hospitalización!$M$3:$M$500,"Hospitalización Pediatría",Hospitalización!$AI$3:$AI$500,1)</f>
        <v>0</v>
      </c>
      <c r="F65" s="27">
        <f>COUNTIFS(Hospitalización!$M$3:$M$500,"Hospitalización Pediatría",Hospitalización!$AJ$3:$AJ$500,1)</f>
        <v>0</v>
      </c>
      <c r="G65" s="27">
        <f>COUNTIFS(Hospitalización!$M$3:$M$500,"Hospitalización Pediatría",Hospitalización!$AK$3:$AK$500,1)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Quirurgicas",Hospitalización!$AF$3:$AF$500,8)</f>
        <v>0</v>
      </c>
      <c r="C71" s="27">
        <f>COUNTIFS(Hospitalización!$M$3:$M$500,"Hospitalización Quirurgicas",Hospitalización!$AG$3:$AG$500,8)</f>
        <v>0</v>
      </c>
      <c r="D71" s="27">
        <f>COUNTIFS(Hospitalización!$M$3:$M$500,"Hospitalización Quirurgicas",Hospitalización!$AH$3:$AH$500,8)</f>
        <v>0</v>
      </c>
      <c r="E71" s="27">
        <f>COUNTIFS(Hospitalización!$M$3:$M$500,"Hospitalización Quirurgicas",Hospitalización!$AI$3:$AI$500,8)</f>
        <v>0</v>
      </c>
      <c r="F71" s="27">
        <f>COUNTIFS(Hospitalización!$M$3:$M$500,"Hospitalización Quirurgicas",Hospitalización!$AJ$3:$AJ$500,8)</f>
        <v>0</v>
      </c>
      <c r="G71" s="27">
        <f>COUNTIFS(Hospitalización!$M$3:$M$500,"Hospitalización Quirurgicas",Hospitalización!$AK$3:$AK$500,8)</f>
        <v>0</v>
      </c>
    </row>
    <row r="72" spans="1:7">
      <c r="A72" s="5" t="s">
        <v>112</v>
      </c>
      <c r="B72" s="27">
        <f>COUNTIFS(Hospitalización!$M$3:$M$500,"Hospitalización Quirurgicas",Hospitalización!$AF$3:$AF$500,7)</f>
        <v>0</v>
      </c>
      <c r="C72" s="27">
        <f>COUNTIFS(Hospitalización!$M$3:$M$500,"Hospitalización Quirurgicas",Hospitalización!$AG$3:$AG$500,7)</f>
        <v>0</v>
      </c>
      <c r="D72" s="27">
        <f>COUNTIFS(Hospitalización!$M$3:$M$500,"Hospitalización Quirurgicas",Hospitalización!$AH$3:$AH$500,7)</f>
        <v>0</v>
      </c>
      <c r="E72" s="27">
        <f>COUNTIFS(Hospitalización!$M$3:$M$500,"Hospitalización Quirurgicas",Hospitalización!$AI$3:$AI$500,7)</f>
        <v>0</v>
      </c>
      <c r="F72" s="27">
        <f>COUNTIFS(Hospitalización!$M$3:$M$500,"Hospitalización Quirurgicas",Hospitalización!$AJ$3:$AJ$500,7)</f>
        <v>0</v>
      </c>
      <c r="G72" s="27">
        <f>COUNTIFS(Hospitalización!$M$3:$M$500,"Hospitalización Quirurgicas",Hospitalización!$AK$3:$AK$500,7)</f>
        <v>0</v>
      </c>
    </row>
    <row r="73" spans="1:7">
      <c r="A73" s="77" t="s">
        <v>113</v>
      </c>
      <c r="B73" s="27">
        <f>COUNTIFS(Hospitalización!$M$3:$M$500,"Hospitalización Quirurgicas",Hospitalización!$AF$3:$AF$500,6)</f>
        <v>0</v>
      </c>
      <c r="C73" s="27">
        <f>COUNTIFS(Hospitalización!$M$3:$M$500,"Hospitalización Quirurgicas",Hospitalización!$AG$3:$AG$500,6)</f>
        <v>6</v>
      </c>
      <c r="D73" s="27">
        <f>COUNTIFS(Hospitalización!$M$3:$M$500,"Hospitalización Quirurgicas",Hospitalización!$AH$3:$AH$500,6)</f>
        <v>0</v>
      </c>
      <c r="E73" s="27">
        <f>COUNTIFS(Hospitalización!$M$3:$M$500,"Hospitalización Quirurgicas",Hospitalización!$AI$3:$AI$500,6)</f>
        <v>0</v>
      </c>
      <c r="F73" s="27">
        <f>COUNTIFS(Hospitalización!$M$3:$M$500,"Hospitalización Quirurgicas",Hospitalización!$AJ$3:$AJ$500,6)</f>
        <v>0</v>
      </c>
      <c r="G73" s="27">
        <f>COUNTIFS(Hospitalización!$M$3:$M$500,"Hospitalización Quirurgicas",Hospitalización!$AK$3:$AK$500,6)</f>
        <v>3</v>
      </c>
    </row>
    <row r="74" spans="1:7">
      <c r="A74" s="77" t="s">
        <v>114</v>
      </c>
      <c r="B74" s="27">
        <f>COUNTIFS(Hospitalización!$M$3:$M$500,"Hospitalización Quirurgicas",Hospitalización!$AF$3:$AF$500,5)</f>
        <v>7</v>
      </c>
      <c r="C74" s="27">
        <f>COUNTIFS(Hospitalización!$M$3:$M$500,"Hospitalización Quirurgicas",Hospitalización!$AG$3:$AG$500,5)</f>
        <v>1</v>
      </c>
      <c r="D74" s="27">
        <f>COUNTIFS(Hospitalización!$M$3:$M$500,"Hospitalización Quirurgicas",Hospitalización!$AH$3:$AH$500,5)</f>
        <v>7</v>
      </c>
      <c r="E74" s="27">
        <f>COUNTIFS(Hospitalización!$M$3:$M$500,"Hospitalización Quirurgicas",Hospitalización!$AI$3:$AI$500,5)</f>
        <v>7</v>
      </c>
      <c r="F74" s="27">
        <f>COUNTIFS(Hospitalización!$M$3:$M$500,"Hospitalización Quirurgicas",Hospitalización!$AJ$3:$AJ$500,5)</f>
        <v>7</v>
      </c>
      <c r="G74" s="27">
        <f>COUNTIFS(Hospitalización!$M$3:$M$500,"Hospitalización Quirurgicas",Hospitalización!$AK$3:$AK$500,5)</f>
        <v>4</v>
      </c>
    </row>
    <row r="75" spans="1:7">
      <c r="A75" s="77" t="s">
        <v>115</v>
      </c>
      <c r="B75" s="27">
        <f>COUNTIFS(Hospitalización!$M$3:$M$500,"Hospitalización Quirurgicas",Hospitalización!$AF$3:$AF$500,4)</f>
        <v>0</v>
      </c>
      <c r="C75" s="27">
        <f>COUNTIFS(Hospitalización!$M$3:$M$500,"Hospitalización Quirurgicas",Hospitalización!$AG$3:$AG$500,4)</f>
        <v>0</v>
      </c>
      <c r="D75" s="27">
        <f>COUNTIFS(Hospitalización!$M$3:$M$500,"Hospitalización Quirurgicas",Hospitalización!$AH$3:$AH$500,4)</f>
        <v>0</v>
      </c>
      <c r="E75" s="27">
        <f>COUNTIFS(Hospitalización!$M$3:$M$500,"Hospitalización Quirurgicas",Hospitalización!$AI$3:$AI$500,4)</f>
        <v>0</v>
      </c>
      <c r="F75" s="27">
        <f>COUNTIFS(Hospitalización!$M$3:$M$500,"Hospitalización Quirurgicas",Hospitalización!$AJ$3:$AJ$500,4)</f>
        <v>0</v>
      </c>
      <c r="G75" s="27">
        <f>COUNTIFS(Hospitalización!$M$3:$M$500,"Hospitalización Quirurgicas",Hospitalización!$AK$3:$AK$500,4)</f>
        <v>0</v>
      </c>
    </row>
    <row r="76" spans="1:7">
      <c r="A76" s="77" t="s">
        <v>116</v>
      </c>
      <c r="B76" s="27">
        <f>COUNTIFS(Hospitalización!$M$3:$M$500,"Hospitalización Quirurgicas",Hospitalización!$AF$3:$AF$500,3)</f>
        <v>0</v>
      </c>
      <c r="C76" s="27">
        <f>COUNTIFS(Hospitalización!$M$3:$M$500,"Hospitalización Quirurgicas",Hospitalización!$AG$3:$AG$500,3)</f>
        <v>0</v>
      </c>
      <c r="D76" s="27">
        <f>COUNTIFS(Hospitalización!$M$3:$M$500,"Hospitalización Quirurgicas",Hospitalización!$AH$3:$AH$500,3)</f>
        <v>0</v>
      </c>
      <c r="E76" s="27">
        <f>COUNTIFS(Hospitalización!$M$3:$M$500,"Hospitalización Quirurgicas",Hospitalización!$AI$3:$AI$500,3)</f>
        <v>0</v>
      </c>
      <c r="F76" s="27">
        <f>COUNTIFS(Hospitalización!$M$3:$M$500,"Hospitalización Quirurgicas",Hospitalización!$AJ$3:$AJ$500,3)</f>
        <v>0</v>
      </c>
      <c r="G76" s="27">
        <f>COUNTIFS(Hospitalización!$M$3:$M$500,"Hospitalización Quirurgicas",Hospitalización!$AK$3:$AK$500,3)</f>
        <v>0</v>
      </c>
    </row>
    <row r="77" spans="1:7">
      <c r="A77" s="77" t="s">
        <v>117</v>
      </c>
      <c r="B77" s="27">
        <f>COUNTIFS(Hospitalización!$M$3:$M$500,"Hospitalización Quirurgicas",Hospitalización!$AF$3:$AF$500,2)</f>
        <v>0</v>
      </c>
      <c r="C77" s="27">
        <f>COUNTIFS(Hospitalización!$M$3:$M$500,"Hospitalización Quirurgicas",Hospitalización!$AG$3:$AG$500,2)</f>
        <v>0</v>
      </c>
      <c r="D77" s="27">
        <f>COUNTIFS(Hospitalización!$M$3:$M$500,"Hospitalización Quirurgicas",Hospitalización!$AH$3:$AH$500,2)</f>
        <v>0</v>
      </c>
      <c r="E77" s="27">
        <f>COUNTIFS(Hospitalización!$M$3:$M$500,"Hospitalización Quirurgicas",Hospitalización!$AI$3:$AI$500,2)</f>
        <v>0</v>
      </c>
      <c r="F77" s="27">
        <f>COUNTIFS(Hospitalización!$M$3:$M$500,"Hospitalización Quirurgicas",Hospitalización!$AJ$3:$AJ$500,2)</f>
        <v>0</v>
      </c>
      <c r="G77" s="27">
        <f>COUNTIFS(Hospitalización!$M$3:$M$500,"Hospitalización Quirurgicas",Hospitalización!$AK$3:$AK$500,2)</f>
        <v>0</v>
      </c>
    </row>
    <row r="78" spans="1:7">
      <c r="A78" s="77" t="s">
        <v>118</v>
      </c>
      <c r="B78" s="27">
        <f>COUNTIFS(Hospitalización!$M$3:$M$500,"Hospitalización Quirurgicas",Hospitalización!$AF$3:$AF$500,1)</f>
        <v>0</v>
      </c>
      <c r="C78" s="27">
        <f>COUNTIFS(Hospitalización!$M$3:$M$500,"Hospitalización Quirurgicas",Hospitalización!$AG$3:$AG$500,1)</f>
        <v>0</v>
      </c>
      <c r="D78" s="27">
        <f>COUNTIFS(Hospitalización!$M$3:$M$500,"Hospitalización Quirurgicas",Hospitalización!$AH$3:$AH$500,1)</f>
        <v>0</v>
      </c>
      <c r="E78" s="27">
        <f>COUNTIFS(Hospitalización!$M$3:$M$500,"Hospitalización Quirurgicas",Hospitalización!$AI$3:$AI$500,1)</f>
        <v>0</v>
      </c>
      <c r="F78" s="27">
        <f>COUNTIFS(Hospitalización!$M$3:$M$500,"Hospitalización Quirurgicas",Hospitalización!$AJ$3:$AJ$500,1)</f>
        <v>0</v>
      </c>
      <c r="G78" s="27">
        <f>COUNTIFS(Hospitalización!$M$3:$M$500,"Hospitalización Quirurgicas",Hospitalización!$AK$3:$AK$500,1)</f>
        <v>0</v>
      </c>
    </row>
    <row r="79" spans="1:7">
      <c r="A79" s="25"/>
      <c r="B79" s="17">
        <f t="shared" ref="B79:G79" si="5">SUM(B71:B78)</f>
        <v>7</v>
      </c>
      <c r="C79" s="17">
        <f t="shared" si="5"/>
        <v>7</v>
      </c>
      <c r="D79" s="17">
        <f t="shared" si="5"/>
        <v>7</v>
      </c>
      <c r="E79" s="17">
        <f t="shared" si="5"/>
        <v>7</v>
      </c>
      <c r="F79" s="17">
        <f t="shared" si="5"/>
        <v>7</v>
      </c>
      <c r="G79" s="17">
        <f t="shared" si="5"/>
        <v>7</v>
      </c>
    </row>
    <row r="82" spans="1:7">
      <c r="A82" s="25"/>
      <c r="B82" s="190" t="s">
        <v>146</v>
      </c>
      <c r="C82" s="190"/>
      <c r="D82" s="190"/>
      <c r="E82" s="190"/>
      <c r="F82" s="190"/>
      <c r="G82" s="190"/>
    </row>
    <row r="83" spans="1:7" ht="53.4">
      <c r="A83" s="25"/>
      <c r="B83" s="82" t="s">
        <v>161</v>
      </c>
      <c r="C83" s="82" t="s">
        <v>162</v>
      </c>
      <c r="D83" s="84" t="s">
        <v>163</v>
      </c>
      <c r="E83" s="82" t="s">
        <v>164</v>
      </c>
      <c r="F83" s="82" t="s">
        <v>165</v>
      </c>
      <c r="G83" s="82" t="s">
        <v>166</v>
      </c>
    </row>
    <row r="84" spans="1:7">
      <c r="A84" s="5" t="s">
        <v>111</v>
      </c>
      <c r="B84" s="27">
        <f>COUNTIFS(Hospitalización!$M$3:$M$500,"Unidades de cuidados intensivos",Hospitalización!$AF$3:$AF$500,8)</f>
        <v>0</v>
      </c>
      <c r="C84" s="27">
        <f>COUNTIFS(Hospitalización!$M$3:$M$500,"Unidades de cuidados intensivos",Hospitalización!$AG$3:$AG$500,8)</f>
        <v>0</v>
      </c>
      <c r="D84" s="27">
        <f>COUNTIFS(Hospitalización!$M$3:$M$500,"Unidades de cuidados intensivos",Hospitalización!$AH$3:$AH$500,8)</f>
        <v>0</v>
      </c>
      <c r="E84" s="27">
        <f>COUNTIFS(Hospitalización!$M$3:$M$500,"Unidades de cuidados intensivos",Hospitalización!$AI$3:$AI$500,8)</f>
        <v>0</v>
      </c>
      <c r="F84" s="27">
        <f>COUNTIFS(Hospitalización!$M$3:$M$500,"Unidades de cuidados intensivos",Hospitalización!$AJ$3:$AJ$500,8)</f>
        <v>0</v>
      </c>
      <c r="G84" s="27">
        <f>COUNTIFS(Hospitalización!$M$3:$M$500,"Unidades de cuidados intensivos",Hospitalización!$AK$3:$AK$500,8)</f>
        <v>0</v>
      </c>
    </row>
    <row r="85" spans="1:7">
      <c r="A85" s="5" t="s">
        <v>112</v>
      </c>
      <c r="B85" s="27">
        <f>COUNTIFS(Hospitalización!$M$3:$M$500,"Unidades de cuidados intensivos",Hospitalización!$AF$3:$AF$500,7)</f>
        <v>0</v>
      </c>
      <c r="C85" s="27">
        <f>COUNTIFS(Hospitalización!$M$3:$M$500,"Unidades de cuidados intensivos",Hospitalización!$AG$3:$AG$500,7)</f>
        <v>0</v>
      </c>
      <c r="D85" s="27">
        <f>COUNTIFS(Hospitalización!$M$3:$M$500,"Unidades de cuidados intensivos",Hospitalización!$AH$3:$AH$500,7)</f>
        <v>0</v>
      </c>
      <c r="E85" s="27">
        <f>COUNTIFS(Hospitalización!$M$3:$M$500,"Unidades de cuidados intensivos",Hospitalización!$AI$3:$AI$500,7)</f>
        <v>0</v>
      </c>
      <c r="F85" s="27">
        <f>COUNTIFS(Hospitalización!$M$3:$M$500,"Unidades de cuidados intensivos",Hospitalización!$AJ$3:$AJ$500,7)</f>
        <v>0</v>
      </c>
      <c r="G85" s="27">
        <f>COUNTIFS(Hospitalización!$M$3:$M$500,"Unidades de cuidados intensivos",Hospitalización!$AK$3:$AK$500,7)</f>
        <v>0</v>
      </c>
    </row>
    <row r="86" spans="1:7">
      <c r="A86" s="77" t="s">
        <v>113</v>
      </c>
      <c r="B86" s="27">
        <f>COUNTIFS(Hospitalización!$M$3:$M$500,"Unidades de cuidados intensivos",Hospitalización!$AF$3:$AF$500,6)</f>
        <v>0</v>
      </c>
      <c r="C86" s="27">
        <f>COUNTIFS(Hospitalización!$M$3:$M$500,"Unidades de cuidados intensivos",Hospitalización!$AG$3:$AG$500,6)</f>
        <v>7</v>
      </c>
      <c r="D86" s="27">
        <f>COUNTIFS(Hospitalización!$M$3:$M$500,"Unidades de cuidados intensivos",Hospitalización!$AH$3:$AH$500,6)</f>
        <v>0</v>
      </c>
      <c r="E86" s="27">
        <f>COUNTIFS(Hospitalización!$M$3:$M$500,"Unidades de cuidados intensivos",Hospitalización!$AI$3:$AI$500,6)</f>
        <v>0</v>
      </c>
      <c r="F86" s="27">
        <f>COUNTIFS(Hospitalización!$M$3:$M$500,"Unidades de cuidados intensivos",Hospitalización!$AJ$3:$AJ$500,6)</f>
        <v>0</v>
      </c>
      <c r="G86" s="27">
        <f>COUNTIFS(Hospitalización!$M$3:$M$500,"Unidades de cuidados intensivos",Hospitalización!$AK$3:$AK$500,6)</f>
        <v>3</v>
      </c>
    </row>
    <row r="87" spans="1:7">
      <c r="A87" s="77" t="s">
        <v>114</v>
      </c>
      <c r="B87" s="27">
        <f>COUNTIFS(Hospitalización!$M$3:$M$500,"Unidades de cuidados intensivos",Hospitalización!$AF$3:$AF$500,5)</f>
        <v>7</v>
      </c>
      <c r="C87" s="27">
        <f>COUNTIFS(Hospitalización!$M$3:$M$500,"Unidades de cuidados intensivos",Hospitalización!$AG$3:$AG$500,5)</f>
        <v>0</v>
      </c>
      <c r="D87" s="27">
        <f>COUNTIFS(Hospitalización!$M$3:$M$500,"Unidades de cuidados intensivos",Hospitalización!$AH$3:$AH$500,5)</f>
        <v>7</v>
      </c>
      <c r="E87" s="27">
        <f>COUNTIFS(Hospitalización!$M$3:$M$500,"Unidades de cuidados intensivos",Hospitalización!$AI$3:$AI$500,5)</f>
        <v>7</v>
      </c>
      <c r="F87" s="27">
        <f>COUNTIFS(Hospitalización!$M$3:$M$500,"Unidades de cuidados intensivos",Hospitalización!$AJ$3:$AJ$500,5)</f>
        <v>7</v>
      </c>
      <c r="G87" s="27">
        <f>COUNTIFS(Hospitalización!$M$3:$M$500,"Unidades de cuidados intensivos",Hospitalización!$AK$3:$AK$500,5)</f>
        <v>4</v>
      </c>
    </row>
    <row r="88" spans="1:7">
      <c r="A88" s="77" t="s">
        <v>115</v>
      </c>
      <c r="B88" s="27">
        <f>COUNTIFS(Hospitalización!$M$3:$M$500,"Unidades de cuidados intensivos",Hospitalización!$AF$3:$AF$500,4)</f>
        <v>0</v>
      </c>
      <c r="C88" s="27">
        <f>COUNTIFS(Hospitalización!$M$3:$M$500,"Unidades de cuidados intensivos",Hospitalización!$AG$3:$AG$500,4)</f>
        <v>0</v>
      </c>
      <c r="D88" s="27">
        <f>COUNTIFS(Hospitalización!$M$3:$M$500,"Unidades de cuidados intensivos",Hospitalización!$AH$3:$AH$500,4)</f>
        <v>0</v>
      </c>
      <c r="E88" s="27">
        <f>COUNTIFS(Hospitalización!$M$3:$M$500,"Unidades de cuidados intensivos",Hospitalización!$AI$3:$AI$500,4)</f>
        <v>0</v>
      </c>
      <c r="F88" s="27">
        <f>COUNTIFS(Hospitalización!$M$3:$M$500,"Unidades de cuidados intensivos",Hospitalización!$AJ$3:$AJ$500,4)</f>
        <v>0</v>
      </c>
      <c r="G88" s="27">
        <f>COUNTIFS(Hospitalización!$M$3:$M$500,"Unidades de cuidados intensivos",Hospitalización!$AK$3:$AK$500,4)</f>
        <v>0</v>
      </c>
    </row>
    <row r="89" spans="1:7">
      <c r="A89" s="77" t="s">
        <v>116</v>
      </c>
      <c r="B89" s="27">
        <f>COUNTIFS(Hospitalización!$M$3:$M$500,"Unidades de cuidados intensivos",Hospitalización!$AF$3:$AF$500,3)</f>
        <v>0</v>
      </c>
      <c r="C89" s="27">
        <f>COUNTIFS(Hospitalización!$M$3:$M$500,"Unidades de cuidados intensivos",Hospitalización!$AG$3:$AG$500,3)</f>
        <v>0</v>
      </c>
      <c r="D89" s="27">
        <f>COUNTIFS(Hospitalización!$M$3:$M$500,"Unidades de cuidados intensivos",Hospitalización!$AH$3:$AH$500,3)</f>
        <v>0</v>
      </c>
      <c r="E89" s="27">
        <f>COUNTIFS(Hospitalización!$M$3:$M$500,"Unidades de cuidados intensivos",Hospitalización!$AI$3:$AI$500,3)</f>
        <v>0</v>
      </c>
      <c r="F89" s="27">
        <f>COUNTIFS(Hospitalización!$M$3:$M$500,"Unidades de cuidados intensivos",Hospitalización!$AJ$3:$AJ$500,3)</f>
        <v>0</v>
      </c>
      <c r="G89" s="27">
        <f>COUNTIFS(Hospitalización!$M$3:$M$500,"Unidades de cuidados intensivos",Hospitalización!$AK$3:$AK$500,3)</f>
        <v>0</v>
      </c>
    </row>
    <row r="90" spans="1:7">
      <c r="A90" s="77" t="s">
        <v>117</v>
      </c>
      <c r="B90" s="27">
        <f>COUNTIFS(Hospitalización!$M$3:$M$500,"Unidades de cuidados intensivos",Hospitalización!$AF$3:$AF$500,2)</f>
        <v>0</v>
      </c>
      <c r="C90" s="27">
        <f>COUNTIFS(Hospitalización!$M$3:$M$500,"Unidades de cuidados intensivos",Hospitalización!$AG$3:$AG$500,2)</f>
        <v>0</v>
      </c>
      <c r="D90" s="27">
        <f>COUNTIFS(Hospitalización!$M$3:$M$500,"Unidades de cuidados intensivos",Hospitalización!$AH$3:$AH$500,2)</f>
        <v>0</v>
      </c>
      <c r="E90" s="27">
        <f>COUNTIFS(Hospitalización!$M$3:$M$500,"Unidades de cuidados intensivos",Hospitalización!$AI$3:$AI$500,2)</f>
        <v>0</v>
      </c>
      <c r="F90" s="27">
        <f>COUNTIFS(Hospitalización!$M$3:$M$500,"Unidades de cuidados intensivos",Hospitalización!$AJ$3:$AJ$500,2)</f>
        <v>0</v>
      </c>
      <c r="G90" s="27">
        <f>COUNTIFS(Hospitalización!$M$3:$M$500,"Unidades de cuidados intensivos",Hospitalización!$AK$3:$AK$500,2)</f>
        <v>0</v>
      </c>
    </row>
    <row r="91" spans="1:7">
      <c r="A91" s="77" t="s">
        <v>118</v>
      </c>
      <c r="B91" s="27">
        <f>COUNTIFS(Hospitalización!$M$3:$M$500,"Unidades de cuidados intensivos",Hospitalización!$AF$3:$AF$500,1)</f>
        <v>0</v>
      </c>
      <c r="C91" s="27">
        <f>COUNTIFS(Hospitalización!$M$3:$M$500,"Unidades de cuidados intensivos",Hospitalización!$AG$3:$AG$500,1)</f>
        <v>0</v>
      </c>
      <c r="D91" s="27">
        <f>COUNTIFS(Hospitalización!$M$3:$M$500,"Unidades de cuidados intensivos",Hospitalización!$AH$3:$AH$500,1)</f>
        <v>0</v>
      </c>
      <c r="E91" s="27">
        <f>COUNTIFS(Hospitalización!$M$3:$M$500,"Unidades de cuidados intensivos",Hospitalización!$AI$3:$AI$500,1)</f>
        <v>0</v>
      </c>
      <c r="F91" s="27">
        <f>COUNTIFS(Hospitalización!$M$3:$M$500,"Unidades de cuidados intensivos",Hospitalización!$AJ$3:$AJ$500,1)</f>
        <v>0</v>
      </c>
      <c r="G91" s="27">
        <f>COUNTIFS(Hospitalización!$M$3:$M$500,"Unidades de cuidados intensivos",Hospitalización!$AK$3:$AK$500,1)</f>
        <v>0</v>
      </c>
    </row>
    <row r="92" spans="1:7">
      <c r="A92" s="25"/>
      <c r="B92" s="17">
        <f t="shared" ref="B92:G92" si="6">SUM(B84:B91)</f>
        <v>7</v>
      </c>
      <c r="C92" s="17">
        <f t="shared" si="6"/>
        <v>7</v>
      </c>
      <c r="D92" s="17">
        <f t="shared" si="6"/>
        <v>7</v>
      </c>
      <c r="E92" s="17">
        <f t="shared" si="6"/>
        <v>7</v>
      </c>
      <c r="F92" s="17">
        <f t="shared" si="6"/>
        <v>7</v>
      </c>
      <c r="G92" s="17">
        <f t="shared" si="6"/>
        <v>7</v>
      </c>
    </row>
    <row r="95" spans="1:7" ht="15" customHeight="1">
      <c r="A95" s="25"/>
      <c r="B95" s="192" t="s">
        <v>167</v>
      </c>
      <c r="C95" s="192"/>
      <c r="D95" s="192"/>
      <c r="E95" s="192"/>
      <c r="F95" s="192"/>
      <c r="G95" s="192"/>
    </row>
    <row r="96" spans="1:7" ht="53.4">
      <c r="A96" s="25"/>
      <c r="B96" s="82" t="s">
        <v>161</v>
      </c>
      <c r="C96" s="82" t="s">
        <v>162</v>
      </c>
      <c r="D96" s="84" t="s">
        <v>163</v>
      </c>
      <c r="E96" s="82" t="s">
        <v>164</v>
      </c>
      <c r="F96" s="82" t="s">
        <v>165</v>
      </c>
      <c r="G96" s="82" t="s">
        <v>166</v>
      </c>
    </row>
    <row r="97" spans="1:7" ht="26.4">
      <c r="A97" s="5" t="s">
        <v>16</v>
      </c>
      <c r="B97" s="85">
        <f t="shared" ref="B97:G97" si="7">(B22+B23)/B27</f>
        <v>1</v>
      </c>
      <c r="C97" s="85">
        <f t="shared" si="7"/>
        <v>0.14285714285714285</v>
      </c>
      <c r="D97" s="85">
        <f t="shared" si="7"/>
        <v>1</v>
      </c>
      <c r="E97" s="85">
        <f t="shared" si="7"/>
        <v>1</v>
      </c>
      <c r="F97" s="85">
        <f t="shared" si="7"/>
        <v>1</v>
      </c>
      <c r="G97" s="85">
        <f t="shared" si="7"/>
        <v>0.14285714285714285</v>
      </c>
    </row>
    <row r="98" spans="1:7" ht="26.4">
      <c r="A98" s="5" t="s">
        <v>17</v>
      </c>
      <c r="B98" s="85">
        <f t="shared" ref="B98:G98" si="8">(B35+B36)/B40</f>
        <v>1</v>
      </c>
      <c r="C98" s="85">
        <f t="shared" si="8"/>
        <v>0</v>
      </c>
      <c r="D98" s="85">
        <f t="shared" si="8"/>
        <v>1</v>
      </c>
      <c r="E98" s="85">
        <f t="shared" si="8"/>
        <v>1</v>
      </c>
      <c r="F98" s="85">
        <f t="shared" si="8"/>
        <v>1</v>
      </c>
      <c r="G98" s="85">
        <f t="shared" si="8"/>
        <v>0.42857142857142855</v>
      </c>
    </row>
    <row r="99" spans="1:7" ht="26.4">
      <c r="A99" s="5" t="s">
        <v>149</v>
      </c>
      <c r="B99" s="85">
        <f>(B48+B49)/B53</f>
        <v>1</v>
      </c>
      <c r="C99" s="85">
        <f>(C48+C49)/$B$53</f>
        <v>0</v>
      </c>
      <c r="D99" s="85">
        <f>(D48+D49)/$B$53</f>
        <v>1</v>
      </c>
      <c r="E99" s="85">
        <f>(E48+E49)/$B$53</f>
        <v>1</v>
      </c>
      <c r="F99" s="85">
        <f>(F48+F49)/$B$53</f>
        <v>1</v>
      </c>
      <c r="G99" s="85">
        <f>(G48+G49)/$B$53</f>
        <v>0</v>
      </c>
    </row>
    <row r="100" spans="1:7" ht="26.4">
      <c r="A100" s="5" t="s">
        <v>19</v>
      </c>
      <c r="B100" s="85">
        <f t="shared" ref="B100:G100" si="9">(B61+B62)/B66</f>
        <v>1</v>
      </c>
      <c r="C100" s="85">
        <f t="shared" si="9"/>
        <v>0</v>
      </c>
      <c r="D100" s="85">
        <f t="shared" si="9"/>
        <v>1</v>
      </c>
      <c r="E100" s="85">
        <f t="shared" si="9"/>
        <v>0.8571428571428571</v>
      </c>
      <c r="F100" s="85">
        <f t="shared" si="9"/>
        <v>1</v>
      </c>
      <c r="G100" s="85">
        <f t="shared" si="9"/>
        <v>0</v>
      </c>
    </row>
    <row r="101" spans="1:7" ht="26.4">
      <c r="A101" s="5" t="s">
        <v>20</v>
      </c>
      <c r="B101" s="85">
        <f t="shared" ref="B101:G101" si="10">(B74+B75)/$B$79</f>
        <v>1</v>
      </c>
      <c r="C101" s="85">
        <f t="shared" si="10"/>
        <v>0.14285714285714285</v>
      </c>
      <c r="D101" s="85">
        <f t="shared" si="10"/>
        <v>1</v>
      </c>
      <c r="E101" s="85">
        <f t="shared" si="10"/>
        <v>1</v>
      </c>
      <c r="F101" s="85">
        <f t="shared" si="10"/>
        <v>1</v>
      </c>
      <c r="G101" s="85">
        <f t="shared" si="10"/>
        <v>0.5714285714285714</v>
      </c>
    </row>
    <row r="102" spans="1:7" ht="26.4">
      <c r="A102" s="32" t="s">
        <v>168</v>
      </c>
      <c r="B102" s="85">
        <f t="shared" ref="B102:G102" si="11">(B87+B88)/B92</f>
        <v>1</v>
      </c>
      <c r="C102" s="85">
        <f t="shared" si="11"/>
        <v>0</v>
      </c>
      <c r="D102" s="85">
        <f t="shared" si="11"/>
        <v>1</v>
      </c>
      <c r="E102" s="85">
        <f t="shared" si="11"/>
        <v>1</v>
      </c>
      <c r="F102" s="85">
        <f t="shared" si="11"/>
        <v>1</v>
      </c>
      <c r="G102" s="85">
        <f t="shared" si="11"/>
        <v>0.5714285714285714</v>
      </c>
    </row>
    <row r="103" spans="1:7">
      <c r="A103" s="86" t="s">
        <v>22</v>
      </c>
    </row>
  </sheetData>
  <mergeCells count="8">
    <mergeCell ref="B69:G69"/>
    <mergeCell ref="B82:G82"/>
    <mergeCell ref="B95:G95"/>
    <mergeCell ref="B4:G4"/>
    <mergeCell ref="B17:G17"/>
    <mergeCell ref="B30:G30"/>
    <mergeCell ref="B43:G43"/>
    <mergeCell ref="B56:G5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AK79"/>
  <sheetViews>
    <sheetView topLeftCell="AG1" workbookViewId="0">
      <selection activeCell="AI13" sqref="AI13"/>
    </sheetView>
  </sheetViews>
  <sheetFormatPr baseColWidth="10" defaultColWidth="11" defaultRowHeight="14.4"/>
  <cols>
    <col min="1" max="1" width="16.33203125" customWidth="1"/>
    <col min="2" max="2" width="14.109375" customWidth="1"/>
    <col min="3" max="3" width="14" customWidth="1"/>
    <col min="4" max="4" width="12.6640625" customWidth="1"/>
    <col min="5" max="5" width="13" customWidth="1"/>
    <col min="8" max="8" width="13.33203125" customWidth="1"/>
    <col min="10" max="10" width="13.109375" customWidth="1"/>
    <col min="12" max="12" width="13.109375" customWidth="1"/>
    <col min="13" max="13" width="13" customWidth="1"/>
    <col min="18" max="18" width="13" customWidth="1"/>
    <col min="33" max="33" width="13.44140625" customWidth="1"/>
  </cols>
  <sheetData>
    <row r="1" spans="1:37">
      <c r="A1" t="s">
        <v>183</v>
      </c>
    </row>
    <row r="4" spans="1:37" ht="35.4" customHeight="1">
      <c r="A4" s="25"/>
      <c r="B4" s="182" t="s">
        <v>184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T4" s="25"/>
      <c r="U4" s="182" t="s">
        <v>184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</row>
    <row r="5" spans="1:37" ht="60" customHeight="1">
      <c r="A5" s="25"/>
      <c r="B5" s="76" t="s">
        <v>185</v>
      </c>
      <c r="C5" s="76" t="s">
        <v>186</v>
      </c>
      <c r="D5" s="76" t="s">
        <v>187</v>
      </c>
      <c r="E5" s="76" t="s">
        <v>188</v>
      </c>
      <c r="F5" s="76" t="s">
        <v>189</v>
      </c>
      <c r="G5" s="76" t="s">
        <v>190</v>
      </c>
      <c r="H5" s="76" t="s">
        <v>191</v>
      </c>
      <c r="I5" s="76" t="s">
        <v>192</v>
      </c>
      <c r="J5" s="76" t="s">
        <v>104</v>
      </c>
      <c r="K5" s="76" t="s">
        <v>193</v>
      </c>
      <c r="L5" s="76" t="s">
        <v>105</v>
      </c>
      <c r="M5" s="76" t="s">
        <v>194</v>
      </c>
      <c r="N5" s="76" t="s">
        <v>195</v>
      </c>
      <c r="O5" s="76" t="s">
        <v>196</v>
      </c>
      <c r="P5" s="76" t="s">
        <v>134</v>
      </c>
      <c r="Q5" s="76" t="s">
        <v>197</v>
      </c>
      <c r="R5" s="76" t="s">
        <v>198</v>
      </c>
      <c r="T5" s="25"/>
      <c r="U5" s="76" t="s">
        <v>185</v>
      </c>
      <c r="V5" s="76" t="s">
        <v>186</v>
      </c>
      <c r="W5" s="76" t="s">
        <v>187</v>
      </c>
      <c r="X5" s="76" t="s">
        <v>188</v>
      </c>
      <c r="Y5" s="76" t="s">
        <v>189</v>
      </c>
      <c r="Z5" s="76" t="s">
        <v>190</v>
      </c>
      <c r="AA5" s="76" t="s">
        <v>191</v>
      </c>
      <c r="AB5" s="76" t="s">
        <v>192</v>
      </c>
      <c r="AC5" s="76" t="s">
        <v>104</v>
      </c>
      <c r="AD5" s="76" t="s">
        <v>193</v>
      </c>
      <c r="AE5" s="76" t="s">
        <v>105</v>
      </c>
      <c r="AF5" s="76" t="s">
        <v>194</v>
      </c>
      <c r="AG5" s="76" t="s">
        <v>195</v>
      </c>
      <c r="AH5" s="76" t="s">
        <v>196</v>
      </c>
      <c r="AI5" s="76" t="s">
        <v>134</v>
      </c>
      <c r="AJ5" s="76" t="s">
        <v>197</v>
      </c>
      <c r="AK5" s="76" t="s">
        <v>198</v>
      </c>
    </row>
    <row r="6" spans="1:37" ht="14.25" customHeight="1">
      <c r="A6" s="5" t="s">
        <v>199</v>
      </c>
      <c r="B6" s="27">
        <f>COUNTIF(Ambulatorio!$AV$73:$AV$483,"0 - 20 min.")</f>
        <v>166</v>
      </c>
      <c r="C6" s="27">
        <f>COUNTIF(Ambulatorio!$AW$73:$AW$483,"0 - 20 min.")</f>
        <v>168</v>
      </c>
      <c r="D6" s="27">
        <f>COUNTIF(Ambulatorio!$AX$73:$AX$483,"0 - 20 min.")</f>
        <v>180</v>
      </c>
      <c r="E6" s="27">
        <f>COUNTIF(Ambulatorio!$AY$73:$AY$483,"0 - 20 min.")</f>
        <v>132</v>
      </c>
      <c r="F6" s="27">
        <f>COUNTIF(Ambulatorio!$AZ$73:$AZ$483,"0 - 20 min.")</f>
        <v>0</v>
      </c>
      <c r="G6" s="27">
        <f>COUNTIF(Ambulatorio!$BA$73:$BA$483,"0 - 20 min.")</f>
        <v>98</v>
      </c>
      <c r="H6" s="27">
        <f>COUNTIF(Ambulatorio!$BB$73:$BB$483,"0 - 20 min.")</f>
        <v>0</v>
      </c>
      <c r="I6" s="27">
        <f>COUNTIF(Ambulatorio!$BC$73:$BC$483,"0 - 20 min.")</f>
        <v>0</v>
      </c>
      <c r="J6" s="27">
        <f>COUNTIF(Ambulatorio!$BD$73:$BD$483,"0 - 20 min.")</f>
        <v>0</v>
      </c>
      <c r="K6" s="27">
        <f>COUNTIF(Ambulatorio!$BE$73:$BE$483,"0 - 20 min.")</f>
        <v>16</v>
      </c>
      <c r="L6" s="27">
        <f>COUNTIF(Ambulatorio!$BF$73:$BF$483,"0 - 20 min.")</f>
        <v>16</v>
      </c>
      <c r="M6" s="27">
        <f>COUNTIF(Ambulatorio!$BG$73:$BG$483,"0 - 20 min.")</f>
        <v>0</v>
      </c>
      <c r="N6" s="27">
        <f>COUNTIF(Ambulatorio!$BH$73:$BH$483,"0 - 20 min.")</f>
        <v>12</v>
      </c>
      <c r="O6" s="27">
        <f>COUNTIF(Ambulatorio!$BI$73:$BI$483,"0 - 20 min.")</f>
        <v>1</v>
      </c>
      <c r="P6" s="27">
        <f>COUNTIF(Ambulatorio!$BJ$73:$BJ$483,"0 - 20 min.")</f>
        <v>4</v>
      </c>
      <c r="Q6" s="27">
        <f>COUNTIF(Ambulatorio!$BK$73:$BK$483,"0 - 20 min.")</f>
        <v>1</v>
      </c>
      <c r="R6" s="27">
        <f>COUNTIF(Ambulatorio!$BL$73:$BL$483,"0 - 20 min.")</f>
        <v>1</v>
      </c>
      <c r="T6" s="5" t="s">
        <v>199</v>
      </c>
      <c r="U6" s="46">
        <f>+B6/$B$10</f>
        <v>0.56462585034013602</v>
      </c>
      <c r="V6" s="46">
        <f>+C6/$C$10</f>
        <v>0.5714285714285714</v>
      </c>
      <c r="W6" s="46">
        <f>+D6/$D$10</f>
        <v>0.61224489795918369</v>
      </c>
      <c r="X6" s="46">
        <f>+E6/$E$10</f>
        <v>0.44897959183673469</v>
      </c>
      <c r="Y6" s="46">
        <f>+F6/$F$10</f>
        <v>0</v>
      </c>
      <c r="Z6" s="46">
        <f>+G6/$G$10</f>
        <v>0.33333333333333331</v>
      </c>
      <c r="AA6" s="46">
        <f>+H6/$H$10</f>
        <v>0</v>
      </c>
      <c r="AB6" s="46">
        <f>+I6/$I$10</f>
        <v>0</v>
      </c>
      <c r="AC6" s="46">
        <f>+J6/$J$10</f>
        <v>0</v>
      </c>
      <c r="AD6" s="46">
        <f>+K6/$K$10</f>
        <v>5.4421768707482991E-2</v>
      </c>
      <c r="AE6" s="46">
        <f>+L6/$L$10</f>
        <v>5.4421768707482991E-2</v>
      </c>
      <c r="AF6" s="46">
        <f>+M6/$M$10</f>
        <v>0</v>
      </c>
      <c r="AG6" s="46">
        <f>+N6/$N$10</f>
        <v>4.0816326530612242E-2</v>
      </c>
      <c r="AH6" s="46">
        <f>+O6/$O$10</f>
        <v>3.4013605442176869E-3</v>
      </c>
      <c r="AI6" s="46">
        <f>+P6/$P$10</f>
        <v>1.3605442176870748E-2</v>
      </c>
      <c r="AJ6" s="46">
        <f>+Q6/$Q$10</f>
        <v>3.4013605442176869E-3</v>
      </c>
      <c r="AK6" s="46">
        <f>+R6/$R$10</f>
        <v>3.4013605442176869E-3</v>
      </c>
    </row>
    <row r="7" spans="1:37" ht="15" customHeight="1">
      <c r="A7" s="5" t="s">
        <v>200</v>
      </c>
      <c r="B7" s="27">
        <f>COUNTIF(Ambulatorio!$AV$73:$AV$483,"21 a 40 Min.")</f>
        <v>17</v>
      </c>
      <c r="C7" s="27">
        <f>COUNTIF(Ambulatorio!$AW$73:$AW$483,"21 a 40 Min.")</f>
        <v>16</v>
      </c>
      <c r="D7" s="27">
        <f>COUNTIF(Ambulatorio!$AX$73:$AX$483,"21 a 40 Min.")</f>
        <v>10</v>
      </c>
      <c r="E7" s="27">
        <f>COUNTIF(Ambulatorio!$AY$73:$AY$483,"21 a 40 Min.")</f>
        <v>160</v>
      </c>
      <c r="F7" s="27">
        <f>COUNTIF(Ambulatorio!$AZ$73:$AZ$483,"21 a 40 Min.")</f>
        <v>160</v>
      </c>
      <c r="G7" s="27">
        <f>COUNTIF(Ambulatorio!$BA$73:$BA$483,"21 a 40 Min.")</f>
        <v>179</v>
      </c>
      <c r="H7" s="27">
        <f>COUNTIF(Ambulatorio!$BB$73:$BB$483,"21 a 40 Min.")</f>
        <v>160</v>
      </c>
      <c r="I7" s="27">
        <f>COUNTIF(Ambulatorio!$BC$73:$BC$483,"21 a 40 Min.")</f>
        <v>160</v>
      </c>
      <c r="J7" s="27">
        <f>COUNTIF(Ambulatorio!$BD$73:$BD$483,"21 a 40 Min.")</f>
        <v>160</v>
      </c>
      <c r="K7" s="27">
        <f>COUNTIF(Ambulatorio!$BE$73:$BE$483,"21 a 40 Min.")</f>
        <v>201</v>
      </c>
      <c r="L7" s="27">
        <f>COUNTIF(Ambulatorio!$BF$73:$BF$483,"21 a 40 Min.")</f>
        <v>164</v>
      </c>
      <c r="M7" s="27">
        <f>COUNTIF(Ambulatorio!$BG$73:$BG$483,"21 a 40 Min.")</f>
        <v>160</v>
      </c>
      <c r="N7" s="27">
        <f>COUNTIF(Ambulatorio!$BH$73:$BH$483,"21 a 40 Min.")</f>
        <v>230</v>
      </c>
      <c r="O7" s="27">
        <f>COUNTIF(Ambulatorio!$BI$73:$BI$483,"21 a 40 Min.")</f>
        <v>160</v>
      </c>
      <c r="P7" s="27">
        <f>COUNTIF(Ambulatorio!$BJ$73:$BJ$483,"21 a 40 Min.")</f>
        <v>160</v>
      </c>
      <c r="Q7" s="27">
        <f>COUNTIF(Ambulatorio!$BK$73:$BK$483,"21 a 40 Min.")</f>
        <v>160</v>
      </c>
      <c r="R7" s="27">
        <f>COUNTIF(Ambulatorio!$BL$73:$BL$483,"21 a 40 Min.")</f>
        <v>160</v>
      </c>
      <c r="T7" s="5" t="s">
        <v>200</v>
      </c>
      <c r="U7" s="46">
        <f>+B7/$B$10</f>
        <v>5.7823129251700682E-2</v>
      </c>
      <c r="V7" s="46">
        <f>+C7/$C$10</f>
        <v>5.4421768707482991E-2</v>
      </c>
      <c r="W7" s="46">
        <f>+D7/$D$10</f>
        <v>3.4013605442176874E-2</v>
      </c>
      <c r="X7" s="46">
        <f>+E7/$E$10</f>
        <v>0.54421768707482998</v>
      </c>
      <c r="Y7" s="46">
        <f>+F7/$F$10</f>
        <v>0.54421768707482998</v>
      </c>
      <c r="Z7" s="46">
        <f>+G7/$G$10</f>
        <v>0.608843537414966</v>
      </c>
      <c r="AA7" s="46">
        <f>+H7/$H$10</f>
        <v>0.54421768707482998</v>
      </c>
      <c r="AB7" s="46">
        <f>+I7/$I$10</f>
        <v>0.54421768707482998</v>
      </c>
      <c r="AC7" s="46">
        <f>+J7/$J$10</f>
        <v>0.54421768707482998</v>
      </c>
      <c r="AD7" s="46">
        <f>+K7/$K$10</f>
        <v>0.68367346938775508</v>
      </c>
      <c r="AE7" s="46">
        <f>+L7/$L$10</f>
        <v>0.55782312925170063</v>
      </c>
      <c r="AF7" s="46">
        <f>+M7/$M$10</f>
        <v>0.54421768707482998</v>
      </c>
      <c r="AG7" s="46">
        <f>+N7/$N$10</f>
        <v>0.78231292517006801</v>
      </c>
      <c r="AH7" s="46">
        <f>+O7/$O$10</f>
        <v>0.54421768707482998</v>
      </c>
      <c r="AI7" s="46">
        <f>+P7/$P$10</f>
        <v>0.54421768707482998</v>
      </c>
      <c r="AJ7" s="46">
        <f>+Q7/$Q$10</f>
        <v>0.54421768707482998</v>
      </c>
      <c r="AK7" s="46">
        <f>+R7/$R$10</f>
        <v>0.54421768707482998</v>
      </c>
    </row>
    <row r="8" spans="1:37">
      <c r="A8" s="77" t="s">
        <v>201</v>
      </c>
      <c r="B8" s="27">
        <f>COUNTIF(Ambulatorio!$AV$73:$AV$483,"41 Min o Más")</f>
        <v>2</v>
      </c>
      <c r="C8" s="27">
        <f>COUNTIF(Ambulatorio!$AW$73:$AW$483,"41 Min o Más")</f>
        <v>6</v>
      </c>
      <c r="D8" s="27">
        <f>COUNTIF(Ambulatorio!$AX$73:$AX$483,"41 Min o Más")</f>
        <v>101</v>
      </c>
      <c r="E8" s="27">
        <f>COUNTIF(Ambulatorio!$AY$73:$AY$483,"41 Min o Más")</f>
        <v>2</v>
      </c>
      <c r="F8" s="27">
        <f>COUNTIF(Ambulatorio!$AZ$73:$AZ$483,"41 Min o Más")</f>
        <v>6</v>
      </c>
      <c r="G8" s="27">
        <f>COUNTIF(Ambulatorio!$BA$73:$BA$483,"41 Min o Más")</f>
        <v>2</v>
      </c>
      <c r="H8" s="27">
        <f>COUNTIF(Ambulatorio!$BB$73:$BB$483,"41 Min o Más")</f>
        <v>4</v>
      </c>
      <c r="I8" s="27">
        <f>COUNTIF(Ambulatorio!$BC$73:$BC$483,"41 Min o Más")</f>
        <v>2</v>
      </c>
      <c r="J8" s="27">
        <f>COUNTIF(Ambulatorio!$BD$73:$BD$483,"41 Min o Más")</f>
        <v>3</v>
      </c>
      <c r="K8" s="27">
        <f>COUNTIF(Ambulatorio!$BE$73:$BE$483,"41 Min o Más")</f>
        <v>21</v>
      </c>
      <c r="L8" s="27">
        <f>COUNTIF(Ambulatorio!$BF$73:$BF$483,"41 Min o Más")</f>
        <v>111</v>
      </c>
      <c r="M8" s="27">
        <f>COUNTIF(Ambulatorio!$BG$73:$BG$483,"41 Min o Más")</f>
        <v>1</v>
      </c>
      <c r="N8" s="27">
        <f>COUNTIF(Ambulatorio!$BH$73:$BH$483,"41 Min o Más")</f>
        <v>49</v>
      </c>
      <c r="O8" s="27">
        <f>COUNTIF(Ambulatorio!$BI$73:$BI$483,"41 Min o Más")</f>
        <v>3</v>
      </c>
      <c r="P8" s="27">
        <f>COUNTIF(Ambulatorio!$BJ$73:$BJ$483,"41 Min o Más")</f>
        <v>2</v>
      </c>
      <c r="Q8" s="27">
        <f>COUNTIF(Ambulatorio!$BK$73:$BK$483,"41 Min o Más")</f>
        <v>2</v>
      </c>
      <c r="R8" s="27">
        <f>COUNTIF(Ambulatorio!$BL$73:$BL$483,"41 Min o Más")</f>
        <v>2</v>
      </c>
      <c r="T8" s="77" t="s">
        <v>201</v>
      </c>
      <c r="U8" s="46">
        <f>+B8/$B$10</f>
        <v>6.8027210884353739E-3</v>
      </c>
      <c r="V8" s="46">
        <f>+C8/$C$10</f>
        <v>2.0408163265306121E-2</v>
      </c>
      <c r="W8" s="46">
        <f>+D8/$D$10</f>
        <v>0.34353741496598639</v>
      </c>
      <c r="X8" s="46">
        <f>+E8/$E$10</f>
        <v>6.8027210884353739E-3</v>
      </c>
      <c r="Y8" s="46">
        <f>+F8/$F$10</f>
        <v>2.0408163265306121E-2</v>
      </c>
      <c r="Z8" s="46">
        <f>+G8/$G$10</f>
        <v>6.8027210884353739E-3</v>
      </c>
      <c r="AA8" s="46">
        <f>+H8/$H$10</f>
        <v>1.3605442176870748E-2</v>
      </c>
      <c r="AB8" s="46">
        <f>+I8/$I$10</f>
        <v>6.8027210884353739E-3</v>
      </c>
      <c r="AC8" s="46">
        <f>+J8/$J$10</f>
        <v>1.020408163265306E-2</v>
      </c>
      <c r="AD8" s="46">
        <f>+K8/$K$10</f>
        <v>7.1428571428571425E-2</v>
      </c>
      <c r="AE8" s="46">
        <f>+L8/$L$10</f>
        <v>0.37755102040816324</v>
      </c>
      <c r="AF8" s="46">
        <f>+M8/$M$10</f>
        <v>3.4013605442176869E-3</v>
      </c>
      <c r="AG8" s="46">
        <f>+N8/$N$10</f>
        <v>0.16666666666666666</v>
      </c>
      <c r="AH8" s="46">
        <f>+O8/$O$10</f>
        <v>1.020408163265306E-2</v>
      </c>
      <c r="AI8" s="46">
        <f>+P8/$P$10</f>
        <v>6.8027210884353739E-3</v>
      </c>
      <c r="AJ8" s="46">
        <f>+Q8/$Q$10</f>
        <v>6.8027210884353739E-3</v>
      </c>
      <c r="AK8" s="46">
        <f>+R8/$R$10</f>
        <v>6.8027210884353739E-3</v>
      </c>
    </row>
    <row r="9" spans="1:37">
      <c r="A9" s="77" t="s">
        <v>202</v>
      </c>
      <c r="B9" s="27">
        <f>COUNTIF(Ambulatorio!$AV$73:$AV$483,"N/A")</f>
        <v>109</v>
      </c>
      <c r="C9" s="27">
        <f>COUNTIF(Ambulatorio!$AW$73:$AW$483,"N/A")</f>
        <v>104</v>
      </c>
      <c r="D9" s="27">
        <f>COUNTIF(Ambulatorio!$AX$73:$AX$483,"N/A")</f>
        <v>3</v>
      </c>
      <c r="E9" s="27">
        <f>COUNTIF(Ambulatorio!$AY$73:$AY$483,"N/A")</f>
        <v>0</v>
      </c>
      <c r="F9" s="27">
        <f>COUNTIF(Ambulatorio!$AZ$73:$AZ$483,"N/A")</f>
        <v>128</v>
      </c>
      <c r="G9" s="27">
        <f>COUNTIF(Ambulatorio!$BA$73:$BA$483,"N/A")</f>
        <v>15</v>
      </c>
      <c r="H9" s="27">
        <f>COUNTIF(Ambulatorio!$BB$73:$BB$483,"N/A")</f>
        <v>130</v>
      </c>
      <c r="I9" s="27">
        <f>COUNTIF(Ambulatorio!$BC$73:$BC$483,"N/A")</f>
        <v>132</v>
      </c>
      <c r="J9" s="27">
        <f>COUNTIF(Ambulatorio!$BD$73:$BD$483,"N/A")</f>
        <v>131</v>
      </c>
      <c r="K9" s="27">
        <f>COUNTIF(Ambulatorio!$BE$73:$BE$483,"N/A")</f>
        <v>56</v>
      </c>
      <c r="L9" s="27">
        <f>COUNTIF(Ambulatorio!$BF$73:$BF$483,"N/A")</f>
        <v>3</v>
      </c>
      <c r="M9" s="27">
        <f>COUNTIF(Ambulatorio!$BG$73:$BG$483,"N/A")</f>
        <v>133</v>
      </c>
      <c r="N9" s="27">
        <f>COUNTIF(Ambulatorio!$BH$73:$BH$483,"N/A")</f>
        <v>3</v>
      </c>
      <c r="O9" s="27">
        <f>COUNTIF(Ambulatorio!$BI$73:$BI$483,"N/A")</f>
        <v>130</v>
      </c>
      <c r="P9" s="27">
        <f>COUNTIF(Ambulatorio!$BJ$73:$BJ$483,"N/A")</f>
        <v>128</v>
      </c>
      <c r="Q9" s="27">
        <f>COUNTIF(Ambulatorio!$BK$73:$BK$483,"N/A")</f>
        <v>131</v>
      </c>
      <c r="R9" s="27">
        <f>COUNTIF(Ambulatorio!$BL$73:$BL$483,"N/A")</f>
        <v>131</v>
      </c>
      <c r="T9" s="77" t="s">
        <v>202</v>
      </c>
      <c r="U9" s="46">
        <f>+B9/$B$10</f>
        <v>0.37074829931972791</v>
      </c>
      <c r="V9" s="46">
        <f>+C9/$C$10</f>
        <v>0.35374149659863946</v>
      </c>
      <c r="W9" s="46">
        <f>+D9/$D$10</f>
        <v>1.020408163265306E-2</v>
      </c>
      <c r="X9" s="46">
        <f>+E9/$E$10</f>
        <v>0</v>
      </c>
      <c r="Y9" s="46">
        <f>+F9/$F$10</f>
        <v>0.43537414965986393</v>
      </c>
      <c r="Z9" s="46">
        <f>+G9/$G$10</f>
        <v>5.1020408163265307E-2</v>
      </c>
      <c r="AA9" s="46">
        <f>+H9/$H$10</f>
        <v>0.44217687074829931</v>
      </c>
      <c r="AB9" s="46">
        <f>+I9/$I$10</f>
        <v>0.44897959183673469</v>
      </c>
      <c r="AC9" s="46">
        <f>+J9/$J$10</f>
        <v>0.445578231292517</v>
      </c>
      <c r="AD9" s="46">
        <f>+K9/$K$10</f>
        <v>0.19047619047619047</v>
      </c>
      <c r="AE9" s="46">
        <f>+L9/$L$10</f>
        <v>1.020408163265306E-2</v>
      </c>
      <c r="AF9" s="46">
        <f>+M9/$M$10</f>
        <v>0.45238095238095238</v>
      </c>
      <c r="AG9" s="46">
        <f>+N9/$N$10</f>
        <v>1.020408163265306E-2</v>
      </c>
      <c r="AH9" s="46">
        <f>+O9/$O$10</f>
        <v>0.44217687074829931</v>
      </c>
      <c r="AI9" s="46">
        <f>+P9/$P$10</f>
        <v>0.43537414965986393</v>
      </c>
      <c r="AJ9" s="46">
        <f>+Q9/$Q$10</f>
        <v>0.445578231292517</v>
      </c>
      <c r="AK9" s="46">
        <f>+R9/$R$10</f>
        <v>0.445578231292517</v>
      </c>
    </row>
    <row r="10" spans="1:37">
      <c r="A10" s="25"/>
      <c r="B10" s="27">
        <f>SUM(B6:B9)</f>
        <v>294</v>
      </c>
      <c r="C10" s="27">
        <f t="shared" ref="C10:R10" si="0">SUM(C6:C9)</f>
        <v>294</v>
      </c>
      <c r="D10" s="27">
        <f t="shared" si="0"/>
        <v>294</v>
      </c>
      <c r="E10" s="27">
        <f t="shared" si="0"/>
        <v>294</v>
      </c>
      <c r="F10" s="27">
        <f t="shared" si="0"/>
        <v>294</v>
      </c>
      <c r="G10" s="27">
        <f t="shared" si="0"/>
        <v>294</v>
      </c>
      <c r="H10" s="27">
        <f t="shared" si="0"/>
        <v>294</v>
      </c>
      <c r="I10" s="27">
        <f t="shared" si="0"/>
        <v>294</v>
      </c>
      <c r="J10" s="27">
        <f t="shared" si="0"/>
        <v>294</v>
      </c>
      <c r="K10" s="27">
        <f t="shared" si="0"/>
        <v>294</v>
      </c>
      <c r="L10" s="27">
        <f t="shared" si="0"/>
        <v>294</v>
      </c>
      <c r="M10" s="27">
        <f t="shared" si="0"/>
        <v>294</v>
      </c>
      <c r="N10" s="27">
        <f t="shared" si="0"/>
        <v>294</v>
      </c>
      <c r="O10" s="27">
        <f t="shared" si="0"/>
        <v>294</v>
      </c>
      <c r="P10" s="27">
        <f t="shared" si="0"/>
        <v>294</v>
      </c>
      <c r="Q10" s="27">
        <f t="shared" si="0"/>
        <v>294</v>
      </c>
      <c r="R10" s="27">
        <f t="shared" si="0"/>
        <v>294</v>
      </c>
      <c r="T10" s="25"/>
      <c r="U10" s="27">
        <f>SUM(U6:U9)</f>
        <v>1</v>
      </c>
      <c r="V10" s="27">
        <f t="shared" ref="V10:AK10" si="1">SUM(V6:V9)</f>
        <v>1</v>
      </c>
      <c r="W10" s="27">
        <f t="shared" si="1"/>
        <v>1</v>
      </c>
      <c r="X10" s="27">
        <f t="shared" si="1"/>
        <v>1</v>
      </c>
      <c r="Y10" s="27">
        <f t="shared" si="1"/>
        <v>1</v>
      </c>
      <c r="Z10" s="27">
        <f t="shared" si="1"/>
        <v>1</v>
      </c>
      <c r="AA10" s="27">
        <f t="shared" si="1"/>
        <v>1</v>
      </c>
      <c r="AB10" s="27">
        <f t="shared" si="1"/>
        <v>1</v>
      </c>
      <c r="AC10" s="27">
        <f t="shared" si="1"/>
        <v>1</v>
      </c>
      <c r="AD10" s="27">
        <f t="shared" si="1"/>
        <v>0.99999999999999989</v>
      </c>
      <c r="AE10" s="27">
        <f t="shared" si="1"/>
        <v>0.99999999999999989</v>
      </c>
      <c r="AF10" s="27">
        <f t="shared" si="1"/>
        <v>1</v>
      </c>
      <c r="AG10" s="27">
        <f t="shared" si="1"/>
        <v>1</v>
      </c>
      <c r="AH10" s="27">
        <f t="shared" si="1"/>
        <v>1</v>
      </c>
      <c r="AI10" s="27">
        <f t="shared" si="1"/>
        <v>1</v>
      </c>
      <c r="AJ10" s="27">
        <f t="shared" si="1"/>
        <v>1</v>
      </c>
      <c r="AK10" s="27">
        <f t="shared" si="1"/>
        <v>1</v>
      </c>
    </row>
    <row r="13" spans="1:37" ht="35.4" customHeight="1">
      <c r="A13" s="25"/>
      <c r="B13" s="182" t="s">
        <v>203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</row>
    <row r="14" spans="1:37" ht="39.75" customHeight="1">
      <c r="A14" s="25"/>
      <c r="B14" s="76" t="s">
        <v>185</v>
      </c>
      <c r="C14" s="76" t="s">
        <v>186</v>
      </c>
      <c r="D14" s="76" t="s">
        <v>187</v>
      </c>
      <c r="E14" s="76" t="s">
        <v>188</v>
      </c>
      <c r="F14" s="76" t="s">
        <v>189</v>
      </c>
      <c r="G14" s="76" t="s">
        <v>190</v>
      </c>
      <c r="H14" s="76" t="s">
        <v>191</v>
      </c>
      <c r="I14" s="76" t="s">
        <v>192</v>
      </c>
      <c r="J14" s="76" t="s">
        <v>104</v>
      </c>
      <c r="K14" s="76" t="s">
        <v>193</v>
      </c>
      <c r="L14" s="76" t="s">
        <v>105</v>
      </c>
      <c r="M14" s="76" t="s">
        <v>194</v>
      </c>
      <c r="N14" s="76" t="s">
        <v>195</v>
      </c>
      <c r="O14" s="76" t="s">
        <v>196</v>
      </c>
      <c r="P14" s="76" t="s">
        <v>134</v>
      </c>
      <c r="Q14" s="76" t="s">
        <v>197</v>
      </c>
      <c r="R14" s="76" t="s">
        <v>198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7">
      <c r="A15" s="5" t="s">
        <v>199</v>
      </c>
      <c r="B15" s="27">
        <f>COUNTIFS(Ambulatorio!$M$73:$M$483,"Citas - Facturación",Ambulatorio!$AV$73:$AV$483,"0 - 20 Min.")</f>
        <v>0</v>
      </c>
      <c r="C15" s="27">
        <f>COUNTIFS(Ambulatorio!$M$73:$M$483,"Citas - Facturación",Ambulatorio!$AW$73:$AW$483,"0 - 20 Min.")</f>
        <v>0</v>
      </c>
      <c r="D15" s="27">
        <f>COUNTIFS(Ambulatorio!$M$73:$M$483,"Citas - Facturación",Ambulatorio!$AX$73:$AX$483,"0 - 20 Min.")</f>
        <v>0</v>
      </c>
      <c r="E15" s="27">
        <f>COUNTIFS(Ambulatorio!$M$73:$M$483,"Citas - Facturación",Ambulatorio!$AY$73:$AY$483,"0 - 20 Min.")</f>
        <v>0</v>
      </c>
      <c r="F15" s="27">
        <f>COUNTIFS(Ambulatorio!$M$73:$M$483,"Citas - Facturación",Ambulatorio!$AZ$73:$AZ$483,"0 - 20 Min.")</f>
        <v>0</v>
      </c>
      <c r="G15" s="27">
        <f>COUNTIFS(Ambulatorio!$M$73:$M$483,"Citas - Facturación",Ambulatorio!$BA$73:$BA$483,"0 - 20 Min.")</f>
        <v>0</v>
      </c>
      <c r="H15" s="27">
        <f>COUNTIFS(Ambulatorio!$M$73:$M$483,"Citas - Facturación",Ambulatorio!$BB$73:$BB$483,"0 - 20 Min.")</f>
        <v>0</v>
      </c>
      <c r="I15" s="27">
        <f>COUNTIFS(Ambulatorio!$M$73:$M$483,"Citas - Facturación",Ambulatorio!$BC$73:$BC$483,"0 - 20 Min.")</f>
        <v>0</v>
      </c>
      <c r="J15" s="27">
        <f>COUNTIFS(Ambulatorio!$M$73:$M$483,"Citas - Facturación",Ambulatorio!$BD$73:$BD$483,"0 - 20 Min.")</f>
        <v>0</v>
      </c>
      <c r="K15" s="27">
        <f>COUNTIFS(Ambulatorio!$M$73:$M$483,"Citas - Facturación",Ambulatorio!$BE$73:$BE$483,"0 - 20 Min.")</f>
        <v>0</v>
      </c>
      <c r="L15" s="27">
        <f>COUNTIFS(Ambulatorio!$M$73:$M$483,"Citas - Facturación",Ambulatorio!$BF$73:$BF$483,"0 - 20 Min.")</f>
        <v>0</v>
      </c>
      <c r="M15" s="27">
        <f>COUNTIFS(Ambulatorio!$M$73:$M$483,"Citas - Facturación",Ambulatorio!$BG$73:$BG$483,"0 - 20 Min.")</f>
        <v>0</v>
      </c>
      <c r="N15" s="27">
        <f>COUNTIFS(Ambulatorio!$M$73:$M$483,"Citas - Facturación",Ambulatorio!$BH$73:$BH$483,"0 - 20 Min.")</f>
        <v>0</v>
      </c>
      <c r="O15" s="27">
        <f>COUNTIFS(Ambulatorio!$M$73:$M$483,"Citas - Facturación",Ambulatorio!$BI$73:$BI$483,"0 - 20 Min.")</f>
        <v>0</v>
      </c>
      <c r="P15" s="27">
        <f>COUNTIFS(Ambulatorio!$M$73:$M$483,"Citas - Facturación",Ambulatorio!$BJ$73:$BJ$483,"0 - 20 Min.")</f>
        <v>0</v>
      </c>
      <c r="Q15" s="27">
        <f>COUNTIFS(Ambulatorio!$M$73:$M$483,"Citas - Facturación",Ambulatorio!$BK$73:$BK$483,"0 - 20 Min.")</f>
        <v>0</v>
      </c>
      <c r="R15" s="27">
        <f>COUNTIFS(Ambulatorio!$M$73:$M$483,"Citas - Facturación",Ambulatorio!$BL$73:$BL$483,"0 - 20 Min.")</f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7" ht="18" customHeight="1">
      <c r="A16" s="5" t="s">
        <v>200</v>
      </c>
      <c r="B16" s="27">
        <f>COUNTIFS(Ambulatorio!$M$73:$M$483,"Citas - Facturación",Ambulatorio!$AV$73:$AV$483,"21 a 40 Min.")</f>
        <v>0</v>
      </c>
      <c r="C16" s="27">
        <f>COUNTIFS(Ambulatorio!$M$73:$M$483,"Citas - Facturación",Ambulatorio!$AW$73:$AW$483,"21 a 40 Min.")</f>
        <v>0</v>
      </c>
      <c r="D16" s="27">
        <f>COUNTIFS(Ambulatorio!$M$73:$M$483,"Citas - Facturación",Ambulatorio!$AX$73:$AX$483,"21 a 40 Min.")</f>
        <v>0</v>
      </c>
      <c r="E16" s="27">
        <f>COUNTIFS(Ambulatorio!$M$73:$M$483,"Citas - Facturación",Ambulatorio!$AY$73:$AY$483,"21 a 40 Min.")</f>
        <v>0</v>
      </c>
      <c r="F16" s="27">
        <f>COUNTIFS(Ambulatorio!$M$73:$M$483,"Citas - Facturación",Ambulatorio!$AZ$73:$AZ$483,"21 a 40 Min.")</f>
        <v>0</v>
      </c>
      <c r="G16" s="27">
        <f>COUNTIFS(Ambulatorio!$M$73:$M$483,"Citas - Facturación",Ambulatorio!$BA$73:$BA$483,"21 a 40 Min.")</f>
        <v>0</v>
      </c>
      <c r="H16" s="27">
        <f>COUNTIFS(Ambulatorio!$M$73:$M$483,"Citas - Facturación",Ambulatorio!$BB$73:$BB$483,"21 a 40 Min.")</f>
        <v>0</v>
      </c>
      <c r="I16" s="27">
        <f>COUNTIFS(Ambulatorio!$M$73:$M$483,"Citas - Facturación",Ambulatorio!$BC$73:$BC$483,"21 a 40 Min.")</f>
        <v>0</v>
      </c>
      <c r="J16" s="27">
        <f>COUNTIFS(Ambulatorio!$M$73:$M$483,"Citas - Facturación",Ambulatorio!$BD$73:$BD$483,"21 a 40 Min.")</f>
        <v>0</v>
      </c>
      <c r="K16" s="27">
        <f>COUNTIFS(Ambulatorio!$M$73:$M$483,"Citas - Facturación",Ambulatorio!$BE$73:$BE$483,"21 a 40 Min.")</f>
        <v>0</v>
      </c>
      <c r="L16" s="27">
        <f>COUNTIFS(Ambulatorio!$M$73:$M$483,"Citas - Facturación",Ambulatorio!$BF$73:$BF$483,"21 a 40 Min.")</f>
        <v>0</v>
      </c>
      <c r="M16" s="27">
        <f>COUNTIFS(Ambulatorio!$M$73:$M$483,"Citas - Facturación",Ambulatorio!$BG$73:$BG$483,"21 a 40 Min.")</f>
        <v>0</v>
      </c>
      <c r="N16" s="27">
        <f>COUNTIFS(Ambulatorio!$M$73:$M$483,"Citas - Facturación",Ambulatorio!$BH$73:$BH$483,"21 a 40 Min.")</f>
        <v>0</v>
      </c>
      <c r="O16" s="27">
        <f>COUNTIFS(Ambulatorio!$M$73:$M$483,"Citas - Facturación",Ambulatorio!$BI$73:$BI$483,"21 a 40 Min.")</f>
        <v>0</v>
      </c>
      <c r="P16" s="27">
        <f>COUNTIFS(Ambulatorio!$M$73:$M$483,"Citas - Facturación",Ambulatorio!$BJ$73:$BJ$483,"21 a 40 Min.")</f>
        <v>0</v>
      </c>
      <c r="Q16" s="27">
        <f>COUNTIFS(Ambulatorio!$M$73:$M$483,"Citas - Facturación",Ambulatorio!$BK$73:$BK$483,"21 a 40 Min.")</f>
        <v>0</v>
      </c>
      <c r="R16" s="27">
        <f>COUNTIFS(Ambulatorio!$M$73:$M$483,"Citas - Facturación",Ambulatorio!$BL$73:$BL$483,"21 a 40 Min.")</f>
        <v>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77" t="s">
        <v>201</v>
      </c>
      <c r="B17" s="27">
        <f>COUNTIFS(Ambulatorio!$M$73:$M$483,"Citas - Facturación",Ambulatorio!$AV$73:$AV$483,"41 Min o Más")</f>
        <v>0</v>
      </c>
      <c r="C17" s="27">
        <f>COUNTIFS(Ambulatorio!$M$73:$M$483,"Citas - Facturación",Ambulatorio!$AW$73:$AW$483,"41 Min o Más")</f>
        <v>0</v>
      </c>
      <c r="D17" s="27">
        <f>COUNTIFS(Ambulatorio!$M$73:$M$483,"Citas - Facturación",Ambulatorio!$AX$73:$AX$483,"41 Min o Más")</f>
        <v>0</v>
      </c>
      <c r="E17" s="27">
        <f>COUNTIFS(Ambulatorio!$M$73:$M$483,"Citas - Facturación",Ambulatorio!$AY$73:$AY$483,"41 Min o Más")</f>
        <v>0</v>
      </c>
      <c r="F17" s="27">
        <f>COUNTIFS(Ambulatorio!$M$73:$M$483,"Citas - Facturación",Ambulatorio!$AZ$73:$AZ$483,"41 Min o Más")</f>
        <v>0</v>
      </c>
      <c r="G17" s="27">
        <f>COUNTIFS(Ambulatorio!$M$73:$M$483,"Citas - Facturación",Ambulatorio!$BA$73:$BA$483,"41 Min o Más")</f>
        <v>0</v>
      </c>
      <c r="H17" s="27">
        <f>COUNTIFS(Ambulatorio!$M$73:$M$483,"Citas - Facturación",Ambulatorio!$BB$73:$BB$483,"41 Min o Más")</f>
        <v>0</v>
      </c>
      <c r="I17" s="27">
        <f>COUNTIFS(Ambulatorio!$M$73:$M$483,"Citas - Facturación",Ambulatorio!$BC$73:$BC$483,"41 Min o Más")</f>
        <v>0</v>
      </c>
      <c r="J17" s="27">
        <f>COUNTIFS(Ambulatorio!$M$73:$M$483,"Citas - Facturación",Ambulatorio!$BD$73:$BD$483,"41 Min o Más")</f>
        <v>0</v>
      </c>
      <c r="K17" s="27">
        <f>COUNTIFS(Ambulatorio!$M$73:$M$483,"Citas - Facturación",Ambulatorio!$BE$73:$BE$483,"41 Min o Más")</f>
        <v>0</v>
      </c>
      <c r="L17" s="27">
        <f>COUNTIFS(Ambulatorio!$M$73:$M$483,"Citas - Facturación",Ambulatorio!$BF$73:$BF$483,"41 Min o Más")</f>
        <v>0</v>
      </c>
      <c r="M17" s="27">
        <f>COUNTIFS(Ambulatorio!$M$73:$M$483,"Citas - Facturación",Ambulatorio!$BG$73:$BG$483,"41 Min o Más")</f>
        <v>0</v>
      </c>
      <c r="N17" s="27">
        <f>COUNTIFS(Ambulatorio!$M$73:$M$483,"Citas - Facturación",Ambulatorio!$BH$73:$BH$483,"41 Min o Más")</f>
        <v>0</v>
      </c>
      <c r="O17" s="27">
        <f>COUNTIFS(Ambulatorio!$M$73:$M$483,"Citas - Facturación",Ambulatorio!$BI$73:$BI$483,"41 Min o Más")</f>
        <v>0</v>
      </c>
      <c r="P17" s="27">
        <f>COUNTIFS(Ambulatorio!$M$73:$M$483,"Citas - Facturación",Ambulatorio!$BJ$73:$BJ$483,"41 Min o Más")</f>
        <v>0</v>
      </c>
      <c r="Q17" s="27">
        <f>COUNTIFS(Ambulatorio!$M$73:$M$483,"Citas - Facturación",Ambulatorio!$BK$73:$BK$483,"41 Min o Más")</f>
        <v>0</v>
      </c>
      <c r="R17" s="27">
        <f>COUNTIFS(Ambulatorio!$M$73:$M$483,"Citas - Facturación",Ambulatorio!$BL$73:$BL$483,"41 Min o Más")</f>
        <v>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77" t="s">
        <v>204</v>
      </c>
      <c r="B18" s="27">
        <f>COUNTIFS(Ambulatorio!$M$73:$M$483,"Citas - Facturación",Ambulatorio!$AV$73:$AV$483,"N/A")</f>
        <v>0</v>
      </c>
      <c r="C18" s="27">
        <f>COUNTIFS(Ambulatorio!$M$73:$M$483,"Citas - Facturación",Ambulatorio!$AW$73:$AW$483,"N/A")</f>
        <v>0</v>
      </c>
      <c r="D18" s="27">
        <f>COUNTIFS(Ambulatorio!$M$73:$M$483,"Citas - Facturación",Ambulatorio!$AX$73:$AX$483,"N/A")</f>
        <v>0</v>
      </c>
      <c r="E18" s="27">
        <f>COUNTIFS(Ambulatorio!$M$73:$M$483,"Citas - Facturación",Ambulatorio!$AY$73:$AY$483,"N/A")</f>
        <v>0</v>
      </c>
      <c r="F18" s="27">
        <f>COUNTIFS(Ambulatorio!$M$73:$M$483,"Citas - Facturación",Ambulatorio!$AZ$73:$AZ$483,"N/A")</f>
        <v>0</v>
      </c>
      <c r="G18" s="27">
        <f>COUNTIFS(Ambulatorio!$M$73:$M$483,"Citas - Facturación",Ambulatorio!$BA$73:$BA$483,"N/A")</f>
        <v>0</v>
      </c>
      <c r="H18" s="27">
        <f>COUNTIFS(Ambulatorio!$M$73:$M$483,"Citas - Facturación",Ambulatorio!$BB$73:$BB$483,"N/A")</f>
        <v>0</v>
      </c>
      <c r="I18" s="27">
        <f>COUNTIFS(Ambulatorio!$M$73:$M$483,"Citas - Facturación",Ambulatorio!$BC$73:$BC$483,"N/A")</f>
        <v>0</v>
      </c>
      <c r="J18" s="27">
        <f>COUNTIFS(Ambulatorio!$M$73:$M$483,"Citas - Facturación",Ambulatorio!$BD$73:$BD$483,"N/A")</f>
        <v>0</v>
      </c>
      <c r="K18" s="27">
        <f>COUNTIFS(Ambulatorio!$M$73:$M$483,"Citas - Facturación",Ambulatorio!$BE$73:$BE$483,"N/A")</f>
        <v>0</v>
      </c>
      <c r="L18" s="27">
        <f>COUNTIFS(Ambulatorio!$M$73:$M$483,"Citas - Facturación",Ambulatorio!$BF$73:$BF$483,"N/A")</f>
        <v>0</v>
      </c>
      <c r="M18" s="27">
        <f>COUNTIFS(Ambulatorio!$M$73:$M$483,"Citas - Facturación",Ambulatorio!$BG$73:$BG$483,"N/A")</f>
        <v>0</v>
      </c>
      <c r="N18" s="27">
        <f>COUNTIFS(Ambulatorio!$M$73:$M$483,"Citas - Facturación",Ambulatorio!$BH$73:$BH$483,"N/A")</f>
        <v>0</v>
      </c>
      <c r="O18" s="27">
        <f>COUNTIFS(Ambulatorio!$M$73:$M$483,"Citas - Facturación",Ambulatorio!$BI$73:$BI$483,"N/A")</f>
        <v>0</v>
      </c>
      <c r="P18" s="27">
        <f>COUNTIFS(Ambulatorio!$M$73:$M$483,"Citas - Facturación",Ambulatorio!$BJ$73:$BJ$483,"N/A")</f>
        <v>0</v>
      </c>
      <c r="Q18" s="27">
        <f>COUNTIFS(Ambulatorio!$M$73:$M$483,"Citas - Facturación",Ambulatorio!$BK$73:$BK$483,"N/A")</f>
        <v>0</v>
      </c>
      <c r="R18" s="27">
        <f>COUNTIFS(Ambulatorio!$M$73:$M$483,"Citas - Facturación",Ambulatorio!$BL$73:$BL$483,"N/A")</f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>
      <c r="A19" s="25"/>
      <c r="B19" s="27">
        <f>SUM(B15:B18)</f>
        <v>0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 t="shared" ref="F19:R19" si="2">SUM(F15:F18)</f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5.4" customHeight="1">
      <c r="A23" s="25"/>
      <c r="B23" s="219" t="s">
        <v>139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</row>
    <row r="24" spans="1:33" ht="39.75" customHeight="1">
      <c r="A24" s="25"/>
      <c r="B24" s="76" t="s">
        <v>185</v>
      </c>
      <c r="C24" s="76" t="s">
        <v>186</v>
      </c>
      <c r="D24" s="76" t="s">
        <v>187</v>
      </c>
      <c r="E24" s="76" t="s">
        <v>188</v>
      </c>
      <c r="F24" s="76" t="s">
        <v>189</v>
      </c>
      <c r="G24" s="76" t="s">
        <v>190</v>
      </c>
      <c r="H24" s="76" t="s">
        <v>191</v>
      </c>
      <c r="I24" s="76" t="s">
        <v>192</v>
      </c>
      <c r="J24" s="76" t="s">
        <v>104</v>
      </c>
      <c r="K24" s="76" t="s">
        <v>193</v>
      </c>
      <c r="L24" s="76" t="s">
        <v>105</v>
      </c>
      <c r="M24" s="76" t="s">
        <v>194</v>
      </c>
      <c r="N24" s="76" t="s">
        <v>195</v>
      </c>
      <c r="O24" s="76" t="s">
        <v>196</v>
      </c>
      <c r="P24" s="76" t="s">
        <v>134</v>
      </c>
      <c r="Q24" s="76" t="s">
        <v>197</v>
      </c>
      <c r="R24" s="76" t="s">
        <v>198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5" t="s">
        <v>199</v>
      </c>
      <c r="B25" s="27">
        <f>COUNTIFS(Ambulatorio!$M$73:$M$483,"Laboratorio y Patología",Ambulatorio!$AV$73:$AV$483,"0 - 20 Min.")</f>
        <v>0</v>
      </c>
      <c r="C25" s="27">
        <f>COUNTIFS(Ambulatorio!$M$73:$M$483,"Laboratorio y Patología",Ambulatorio!$AW$73:$AW$483,"0 - 20 Min.")</f>
        <v>0</v>
      </c>
      <c r="D25" s="27">
        <f>COUNTIFS(Ambulatorio!$M$73:$M$483,"Laboratorio y Patología",Ambulatorio!$AX$73:$AX$483,"0 - 20 Min.")</f>
        <v>0</v>
      </c>
      <c r="E25" s="27">
        <f>COUNTIFS(Ambulatorio!$M$73:$M$483,"Laboratorio y Patología",Ambulatorio!$AY$73:$AY$483,"0 - 20 Min.")</f>
        <v>0</v>
      </c>
      <c r="F25" s="27">
        <f>COUNTIFS(Ambulatorio!$M$73:$M$483,"Laboratorio y Patología",Ambulatorio!$AZ$73:$AZ$483,"0 - 20 Min.")</f>
        <v>0</v>
      </c>
      <c r="G25" s="27">
        <f>COUNTIFS(Ambulatorio!$M$73:$M$483,"Laboratorio y Patología",Ambulatorio!$BA$73:$BA$483,"0 - 20 Min.")</f>
        <v>0</v>
      </c>
      <c r="H25" s="27">
        <f>COUNTIFS(Ambulatorio!$M$73:$M$483,"Laboratorio y Patología",Ambulatorio!$BB$73:$BB$483,"0 - 20 Min.")</f>
        <v>0</v>
      </c>
      <c r="I25" s="27">
        <f>COUNTIFS(Ambulatorio!$M$73:$M$483,"Laboratorio y Patología",Ambulatorio!$BC$73:$BC$483,"0 - 20 Min.")</f>
        <v>0</v>
      </c>
      <c r="J25" s="27">
        <f>COUNTIFS(Ambulatorio!$M$73:$M$483,"Laboratorio y Patología",Ambulatorio!$BD$73:$BD$483,"0 - 20 Min.")</f>
        <v>0</v>
      </c>
      <c r="K25" s="27">
        <f>COUNTIFS(Ambulatorio!$M$73:$M$483,"Laboratorio y Patología",Ambulatorio!$BE$73:$BE$483,"0 - 20 Min.")</f>
        <v>0</v>
      </c>
      <c r="L25" s="27">
        <f>COUNTIFS(Ambulatorio!$M$73:$M$483,"Laboratorio y Patología",Ambulatorio!$BF$73:$BF$483,"0 - 20 Min.")</f>
        <v>0</v>
      </c>
      <c r="M25" s="27">
        <f>COUNTIFS(Ambulatorio!$M$73:$M$483,"Laboratorio y Patología",Ambulatorio!$BG$73:$BG$483,"0 - 20 Min.")</f>
        <v>0</v>
      </c>
      <c r="N25" s="27">
        <f>COUNTIFS(Ambulatorio!$M$73:$M$483,"Laboratorio y Patología",Ambulatorio!$BH$73:$BH$483,"0 - 20 Min.")</f>
        <v>0</v>
      </c>
      <c r="O25" s="27">
        <f>COUNTIFS(Ambulatorio!$M$73:$M$483,"Laboratorio y Patología",Ambulatorio!$BI$73:$BI$483,"0 - 20 Min.")</f>
        <v>0</v>
      </c>
      <c r="P25" s="27">
        <f>COUNTIFS(Ambulatorio!$M$73:$M$483,"Laboratorio y Patología",Ambulatorio!$BJ$73:$BJ$483,"0 - 20 Min.")</f>
        <v>0</v>
      </c>
      <c r="Q25" s="27">
        <f>COUNTIFS(Ambulatorio!$M$73:$M$483,"Laboratorio y Patología",Ambulatorio!$BK$73:$BK$483,"0 - 20 Min.")</f>
        <v>0</v>
      </c>
      <c r="R25" s="27">
        <f>COUNTIFS(Ambulatorio!$M$73:$M$483,"Laboratorio y Patología",Ambulatorio!$BL$73:$BL$483,"0 - 20 Min.")</f>
        <v>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" customHeight="1">
      <c r="A26" s="5" t="s">
        <v>200</v>
      </c>
      <c r="B26" s="27">
        <f>COUNTIFS(Ambulatorio!$M$73:$M$483,"Laboratorio y Patología",Ambulatorio!$AV$73:$AV$483,"21 a 40 Min.")</f>
        <v>0</v>
      </c>
      <c r="C26" s="27">
        <f>COUNTIFS(Ambulatorio!$M$73:$M$483,"Laboratorio y Patología",Ambulatorio!$AW$73:$AW$483,"21 a 40 Min.")</f>
        <v>0</v>
      </c>
      <c r="D26" s="27">
        <f>COUNTIFS(Ambulatorio!$M$73:$M$483,"Laboratorio y Patología",Ambulatorio!$AX$73:$AX$483,"21 a 40 Min.")</f>
        <v>0</v>
      </c>
      <c r="E26" s="27">
        <f>COUNTIFS(Ambulatorio!$M$73:$M$483,"Laboratorio y Patología",Ambulatorio!$AY$73:$AY$483,"21 a 40 Min.")</f>
        <v>0</v>
      </c>
      <c r="F26" s="27">
        <f>COUNTIFS(Ambulatorio!$M$73:$M$483,"Laboratorio y Patología",Ambulatorio!$AZ$73:$AZ$483,"21 a 40 Min.")</f>
        <v>0</v>
      </c>
      <c r="G26" s="27">
        <f>COUNTIFS(Ambulatorio!$M$73:$M$483,"Laboratorio y Patología",Ambulatorio!$BA$73:$BA$483,"21 a 40 Min.")</f>
        <v>0</v>
      </c>
      <c r="H26" s="27">
        <f>COUNTIFS(Ambulatorio!$M$73:$M$483,"Laboratorio y Patología",Ambulatorio!$BB$73:$BB$483,"21 a 40 Min.")</f>
        <v>0</v>
      </c>
      <c r="I26" s="27">
        <f>COUNTIFS(Ambulatorio!$M$73:$M$483,"Laboratorio y Patología",Ambulatorio!$BC$73:$BC$483,"21 a 40 Min.")</f>
        <v>0</v>
      </c>
      <c r="J26" s="27">
        <f>COUNTIFS(Ambulatorio!$M$73:$M$483,"Laboratorio y Patología",Ambulatorio!$BD$73:$BD$483,"21 a 40 Min.")</f>
        <v>0</v>
      </c>
      <c r="K26" s="27">
        <f>COUNTIFS(Ambulatorio!$M$73:$M$483,"Laboratorio y Patología",Ambulatorio!$BE$73:$BE$483,"21 a 40 Min.")</f>
        <v>0</v>
      </c>
      <c r="L26" s="27">
        <f>COUNTIFS(Ambulatorio!$M$73:$M$483,"Laboratorio y Patología",Ambulatorio!$BF$73:$BF$483,"21 a 40 Min.")</f>
        <v>0</v>
      </c>
      <c r="M26" s="27">
        <f>COUNTIFS(Ambulatorio!$M$73:$M$483,"Laboratorio y Patología",Ambulatorio!$BG$73:$BG$483,"21 a 40 Min.")</f>
        <v>0</v>
      </c>
      <c r="N26" s="27">
        <f>COUNTIFS(Ambulatorio!$M$73:$M$483,"Laboratorio y Patología",Ambulatorio!$BH$73:$BH$483,"21 a 40 Min.")</f>
        <v>0</v>
      </c>
      <c r="O26" s="27">
        <f>COUNTIFS(Ambulatorio!$M$73:$M$483,"Laboratorio y Patología",Ambulatorio!$BI$73:$BI$483,"21 a 40 Min.")</f>
        <v>0</v>
      </c>
      <c r="P26" s="27">
        <f>COUNTIFS(Ambulatorio!$M$73:$M$483,"Laboratorio y Patología",Ambulatorio!$BJ$73:$BJ$483,"21 a 40 Min.")</f>
        <v>0</v>
      </c>
      <c r="Q26" s="27">
        <f>COUNTIFS(Ambulatorio!$M$73:$M$483,"Laboratorio y Patología",Ambulatorio!$BK$73:$BK$483,"21 a 40 Min.")</f>
        <v>0</v>
      </c>
      <c r="R26" s="27">
        <f>COUNTIFS(Ambulatorio!$M$73:$M$483,"Laboratorio y Patología",Ambulatorio!$BL$73:$BL$483,"21 a 40 Min.")</f>
        <v>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>
      <c r="A27" s="77" t="s">
        <v>201</v>
      </c>
      <c r="B27" s="27">
        <f>COUNTIFS(Ambulatorio!$M$73:$M$483,"Laboratorio y Patología",Ambulatorio!$AV$73:$AV$483,"41 Min o Más")</f>
        <v>0</v>
      </c>
      <c r="C27" s="27">
        <f>COUNTIFS(Ambulatorio!$M$73:$M$483,"Laboratorio y Patología",Ambulatorio!$AW$73:$AW$483,"41 Min o Más")</f>
        <v>0</v>
      </c>
      <c r="D27" s="27">
        <f>COUNTIFS(Ambulatorio!$M$73:$M$483,"Laboratorio y Patología",Ambulatorio!$AX$73:$AX$483,"41 Min o Más")</f>
        <v>0</v>
      </c>
      <c r="E27" s="27">
        <f>COUNTIFS(Ambulatorio!$M$73:$M$483,"Laboratorio y Patología",Ambulatorio!$AY$73:$AY$483,"41 Min o Más")</f>
        <v>0</v>
      </c>
      <c r="F27" s="27">
        <f>COUNTIFS(Ambulatorio!$M$73:$M$483,"Laboratorio y Patología",Ambulatorio!$AZ$73:$AZ$483,"41 Min o Más")</f>
        <v>0</v>
      </c>
      <c r="G27" s="27">
        <f>COUNTIFS(Ambulatorio!$M$73:$M$483,"Laboratorio y Patología",Ambulatorio!$BA$73:$BA$483,"41 Min o Más")</f>
        <v>0</v>
      </c>
      <c r="H27" s="27">
        <f>COUNTIFS(Ambulatorio!$M$73:$M$483,"Laboratorio y Patología",Ambulatorio!$BB$73:$BB$483,"41 Min o Más")</f>
        <v>0</v>
      </c>
      <c r="I27" s="27">
        <f>COUNTIFS(Ambulatorio!$M$73:$M$483,"Laboratorio y Patología",Ambulatorio!$BC$73:$BC$483,"41 Min o Más")</f>
        <v>0</v>
      </c>
      <c r="J27" s="27">
        <f>COUNTIFS(Ambulatorio!$M$73:$M$483,"Laboratorio y Patología",Ambulatorio!$BD$73:$BD$483,"41 Min o Más")</f>
        <v>0</v>
      </c>
      <c r="K27" s="27">
        <f>COUNTIFS(Ambulatorio!$M$73:$M$483,"Laboratorio y Patología",Ambulatorio!$BE$73:$BE$483,"41 Min o Más")</f>
        <v>0</v>
      </c>
      <c r="L27" s="27">
        <f>COUNTIFS(Ambulatorio!$M$73:$M$483,"Laboratorio y Patología",Ambulatorio!$BF$73:$BF$483,"41 Min o Más")</f>
        <v>0</v>
      </c>
      <c r="M27" s="27">
        <f>COUNTIFS(Ambulatorio!$M$73:$M$483,"Laboratorio y Patología",Ambulatorio!$BG$73:$BG$483,"41 Min o Más")</f>
        <v>0</v>
      </c>
      <c r="N27" s="27">
        <f>COUNTIFS(Ambulatorio!$M$73:$M$483,"Laboratorio y Patología",Ambulatorio!$BH$73:$BH$483,"41 Min o Más")</f>
        <v>0</v>
      </c>
      <c r="O27" s="27">
        <f>COUNTIFS(Ambulatorio!$M$73:$M$483,"Laboratorio y Patología",Ambulatorio!$BI$73:$BI$483,"41 Min o Más")</f>
        <v>0</v>
      </c>
      <c r="P27" s="27">
        <f>COUNTIFS(Ambulatorio!$M$73:$M$483,"Laboratorio y Patología",Ambulatorio!$BJ$73:$BJ$483,"41 Min o Más")</f>
        <v>0</v>
      </c>
      <c r="Q27" s="27">
        <f>COUNTIFS(Ambulatorio!$M$73:$M$483,"Laboratorio y Patología",Ambulatorio!$BK$73:$BK$483,"41 Min o Más")</f>
        <v>0</v>
      </c>
      <c r="R27" s="27">
        <f>COUNTIFS(Ambulatorio!$M$73:$M$483,"Laboratorio y Patología",Ambulatorio!$BL$73:$BL$483,"41 Min o Más")</f>
        <v>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77" t="s">
        <v>204</v>
      </c>
      <c r="B28" s="27">
        <f>COUNTIFS(Ambulatorio!$M$73:$M$483,"Laboratorio y Patología",Ambulatorio!$AV$73:$AV$483,"N/A")</f>
        <v>0</v>
      </c>
      <c r="C28" s="27">
        <f>COUNTIFS(Ambulatorio!$M$73:$M$483,"Laboratorio y Patología",Ambulatorio!$AW$73:$AW$483,"N/A")</f>
        <v>0</v>
      </c>
      <c r="D28" s="27">
        <f>COUNTIFS(Ambulatorio!$M$73:$M$483,"Laboratorio y Patología",Ambulatorio!$AX$73:$AX$483,"N/A")</f>
        <v>0</v>
      </c>
      <c r="E28" s="27">
        <f>COUNTIFS(Ambulatorio!$M$73:$M$483,"Laboratorio y Patología",Ambulatorio!$AY$73:$AY$483,"N/A")</f>
        <v>0</v>
      </c>
      <c r="F28" s="27">
        <f>COUNTIFS(Ambulatorio!$M$73:$M$483,"Laboratorio y Patología",Ambulatorio!$AZ$73:$AZ$483,"N/A")</f>
        <v>0</v>
      </c>
      <c r="G28" s="27">
        <f>COUNTIFS(Ambulatorio!$M$73:$M$483,"Laboratorio y Patología",Ambulatorio!$BA$73:$BA$483,"N/A")</f>
        <v>0</v>
      </c>
      <c r="H28" s="27">
        <f>COUNTIFS(Ambulatorio!$M$73:$M$483,"Laboratorio y Patología",Ambulatorio!$BB$73:$BB$483,"N/A")</f>
        <v>0</v>
      </c>
      <c r="I28" s="27">
        <f>COUNTIFS(Ambulatorio!$M$73:$M$483,"Laboratorio y Patología",Ambulatorio!$BC$73:$BC$483,"N/A")</f>
        <v>0</v>
      </c>
      <c r="J28" s="27">
        <f>COUNTIFS(Ambulatorio!$M$73:$M$483,"Laboratorio y Patología",Ambulatorio!$BD$73:$BD$483,"N/A")</f>
        <v>0</v>
      </c>
      <c r="K28" s="27">
        <f>COUNTIFS(Ambulatorio!$M$73:$M$483,"Laboratorio y Patología",Ambulatorio!$BE$73:$BE$483,"N/A")</f>
        <v>0</v>
      </c>
      <c r="L28" s="27">
        <f>COUNTIFS(Ambulatorio!$M$73:$M$483,"Laboratorio y Patología",Ambulatorio!$BF$73:$BF$483,"N/A")</f>
        <v>0</v>
      </c>
      <c r="M28" s="27">
        <f>COUNTIFS(Ambulatorio!$M$73:$M$483,"Laboratorio y Patología",Ambulatorio!$BG$73:$BG$483,"N/A")</f>
        <v>0</v>
      </c>
      <c r="N28" s="27">
        <f>COUNTIFS(Ambulatorio!$M$73:$M$483,"Laboratorio y Patología",Ambulatorio!$BH$73:$BH$483,"N/A")</f>
        <v>0</v>
      </c>
      <c r="O28" s="27">
        <f>COUNTIFS(Ambulatorio!$M$73:$M$483,"Laboratorio y Patología",Ambulatorio!$BI$73:$BI$483,"N/A")</f>
        <v>0</v>
      </c>
      <c r="P28" s="27">
        <f>COUNTIFS(Ambulatorio!$M$73:$M$483,"Laboratorio y Patología",Ambulatorio!$BJ$73:$BJ$483,"N/A")</f>
        <v>0</v>
      </c>
      <c r="Q28" s="27">
        <f>COUNTIFS(Ambulatorio!$M$73:$M$483,"Laboratorio y Patología",Ambulatorio!$BK$73:$BK$483,"N/A")</f>
        <v>0</v>
      </c>
      <c r="R28" s="27">
        <f>COUNTIFS(Ambulatorio!$M$73:$M$483,"Laboratorio y Patología",Ambulatorio!$BL$73:$BL$483,"N/A")</f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>
      <c r="A29" s="25"/>
      <c r="B29" s="27">
        <f>SUM(B25:B28)</f>
        <v>0</v>
      </c>
      <c r="C29" s="27">
        <f t="shared" ref="C29:R29" si="3">SUM(C25:C28)</f>
        <v>0</v>
      </c>
      <c r="D29" s="27">
        <f t="shared" si="3"/>
        <v>0</v>
      </c>
      <c r="E29" s="27">
        <f t="shared" si="3"/>
        <v>0</v>
      </c>
      <c r="F29" s="27">
        <f t="shared" si="3"/>
        <v>0</v>
      </c>
      <c r="G29" s="27">
        <f t="shared" si="3"/>
        <v>0</v>
      </c>
      <c r="H29" s="27">
        <f t="shared" si="3"/>
        <v>0</v>
      </c>
      <c r="I29" s="27">
        <f t="shared" si="3"/>
        <v>0</v>
      </c>
      <c r="J29" s="27">
        <f t="shared" si="3"/>
        <v>0</v>
      </c>
      <c r="K29" s="27">
        <f t="shared" si="3"/>
        <v>0</v>
      </c>
      <c r="L29" s="27">
        <f t="shared" si="3"/>
        <v>0</v>
      </c>
      <c r="M29" s="27">
        <f t="shared" si="3"/>
        <v>0</v>
      </c>
      <c r="N29" s="27">
        <f t="shared" si="3"/>
        <v>0</v>
      </c>
      <c r="O29" s="27">
        <f t="shared" si="3"/>
        <v>0</v>
      </c>
      <c r="P29" s="27">
        <f t="shared" si="3"/>
        <v>0</v>
      </c>
      <c r="Q29" s="27">
        <f t="shared" si="3"/>
        <v>0</v>
      </c>
      <c r="R29" s="27">
        <f t="shared" si="3"/>
        <v>0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5.4" customHeight="1">
      <c r="A32" s="25"/>
      <c r="B32" s="187" t="s">
        <v>181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1:33" ht="39.75" customHeight="1">
      <c r="A33" s="25"/>
      <c r="B33" s="76" t="s">
        <v>185</v>
      </c>
      <c r="C33" s="76" t="s">
        <v>186</v>
      </c>
      <c r="D33" s="76" t="s">
        <v>187</v>
      </c>
      <c r="E33" s="76" t="s">
        <v>188</v>
      </c>
      <c r="F33" s="76" t="s">
        <v>189</v>
      </c>
      <c r="G33" s="76" t="s">
        <v>190</v>
      </c>
      <c r="H33" s="76" t="s">
        <v>191</v>
      </c>
      <c r="I33" s="76" t="s">
        <v>192</v>
      </c>
      <c r="J33" s="76" t="s">
        <v>104</v>
      </c>
      <c r="K33" s="76" t="s">
        <v>193</v>
      </c>
      <c r="L33" s="76" t="s">
        <v>105</v>
      </c>
      <c r="M33" s="76" t="s">
        <v>194</v>
      </c>
      <c r="N33" s="76" t="s">
        <v>195</v>
      </c>
      <c r="O33" s="76" t="s">
        <v>196</v>
      </c>
      <c r="P33" s="76" t="s">
        <v>134</v>
      </c>
      <c r="Q33" s="76" t="s">
        <v>197</v>
      </c>
      <c r="R33" s="76" t="s">
        <v>198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5" t="s">
        <v>199</v>
      </c>
      <c r="B34" s="27">
        <f>COUNTIFS(Ambulatorio!$M$73:$M$483,"Rayos X - TAC",Ambulatorio!$AV$73:$AV$483,"0 - 20 Min.")</f>
        <v>0</v>
      </c>
      <c r="C34" s="27">
        <f>COUNTIFS(Ambulatorio!$M$73:$M$483,"Rayos X - TAC",Ambulatorio!$AW$73:$AW$483,"0 - 20 Min.")</f>
        <v>0</v>
      </c>
      <c r="D34" s="27">
        <f>COUNTIFS(Ambulatorio!$M$73:$M$483,"Rayos X - TAC",Ambulatorio!$AX$73:$AX$483,"0 - 20 Min.")</f>
        <v>0</v>
      </c>
      <c r="E34" s="27">
        <f>COUNTIFS(Ambulatorio!$M$73:$M$483,"Rayos X - TAC",Ambulatorio!$AY$73:$AY$483,"0 - 20 Min.")</f>
        <v>0</v>
      </c>
      <c r="F34" s="27">
        <f>COUNTIFS(Ambulatorio!$M$73:$M$483,"Rayos X - TAC",Ambulatorio!$AZ$73:$AZ$483,"0 - 20 Min.")</f>
        <v>0</v>
      </c>
      <c r="G34" s="27">
        <f>COUNTIFS(Ambulatorio!$M$73:$M$483,"Rayos X - TAC",Ambulatorio!$BA$73:$BA$483,"0 - 20 Min.")</f>
        <v>0</v>
      </c>
      <c r="H34" s="27">
        <f>COUNTIFS(Ambulatorio!$M$73:$M$483,"Rayos X - TAC",Ambulatorio!$BB$73:$BB$483,"0 - 20 Min.")</f>
        <v>0</v>
      </c>
      <c r="I34" s="27">
        <f>COUNTIFS(Ambulatorio!$M$73:$M$483,"Rayos X - TAC",Ambulatorio!$BC$73:$BC$483,"0 - 20 Min.")</f>
        <v>0</v>
      </c>
      <c r="J34" s="27">
        <f>COUNTIFS(Ambulatorio!$M$73:$M$483,"Rayos X - TAC",Ambulatorio!$BD$73:$BD$483,"0 - 20 Min.")</f>
        <v>0</v>
      </c>
      <c r="K34" s="27">
        <f>COUNTIFS(Ambulatorio!$M$73:$M$483,"Rayos X - TAC",Ambulatorio!$BE$73:$BE$483,"0 - 20 Min.")</f>
        <v>0</v>
      </c>
      <c r="L34" s="27">
        <f>COUNTIFS(Ambulatorio!$M$73:$M$483,"Rayos X - TAC",Ambulatorio!$BF$73:$BF$483,"0 - 20 Min.")</f>
        <v>0</v>
      </c>
      <c r="M34" s="27">
        <f>COUNTIFS(Ambulatorio!$M$73:$M$483,"Rayos X - TAC",Ambulatorio!$BG$73:$BG$483,"0 - 20 Min.")</f>
        <v>0</v>
      </c>
      <c r="N34" s="27">
        <f>COUNTIFS(Ambulatorio!$M$73:$M$483,"Rayos X - TAC",Ambulatorio!$BH$73:$BH$483,"0 - 20 Min.")</f>
        <v>0</v>
      </c>
      <c r="O34" s="27">
        <f>COUNTIFS(Ambulatorio!$M$73:$M$483,"Rayos X - TAC",Ambulatorio!$BI$73:$BI$483,"0 - 20 Min.")</f>
        <v>0</v>
      </c>
      <c r="P34" s="27">
        <f>COUNTIFS(Ambulatorio!$M$73:$M$483,"Rayos X - TAC",Ambulatorio!$BJ$73:$BJ$483,"0 - 20 Min.")</f>
        <v>0</v>
      </c>
      <c r="Q34" s="27">
        <f>COUNTIFS(Ambulatorio!$M$73:$M$483,"Rayos X - TAC",Ambulatorio!$BK$73:$BK$483,"0 - 20 Min.")</f>
        <v>0</v>
      </c>
      <c r="R34" s="27">
        <f>COUNTIFS(Ambulatorio!$M$73:$M$483,"Rayos X - TAC",Ambulatorio!$BL$73:$BL$483,"0 - 20 Min.")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" customHeight="1">
      <c r="A35" s="5" t="s">
        <v>200</v>
      </c>
      <c r="B35" s="27">
        <f>COUNTIFS(Ambulatorio!$M$73:$M$483,"Rayos X - TAC",Ambulatorio!$AV$73:$AV$483,"21 a 40 Min.")</f>
        <v>0</v>
      </c>
      <c r="C35" s="27">
        <f>COUNTIFS(Ambulatorio!$M$73:$M$483,"Rayos X - TAC",Ambulatorio!$AW$73:$AW$483,"21 a 40 Min.")</f>
        <v>0</v>
      </c>
      <c r="D35" s="27">
        <f>COUNTIFS(Ambulatorio!$M$73:$M$483,"Rayos X - TAC",Ambulatorio!$AX$73:$AX$483,"21 a 40 Min.")</f>
        <v>0</v>
      </c>
      <c r="E35" s="27">
        <f>COUNTIFS(Ambulatorio!$M$73:$M$483,"Rayos X - TAC",Ambulatorio!$AY$73:$AY$483,"21 a 40 Min.")</f>
        <v>0</v>
      </c>
      <c r="F35" s="27">
        <f>COUNTIFS(Ambulatorio!$M$73:$M$483,"Rayos X - TAC",Ambulatorio!$AZ$73:$AZ$483,"21 a 40 Min.")</f>
        <v>0</v>
      </c>
      <c r="G35" s="27">
        <f>COUNTIFS(Ambulatorio!$M$73:$M$483,"Rayos X - TAC",Ambulatorio!$BA$73:$BA$483,"21 a 40 Min.")</f>
        <v>0</v>
      </c>
      <c r="H35" s="27">
        <f>COUNTIFS(Ambulatorio!$M$73:$M$483,"Rayos X - TAC",Ambulatorio!$BB$73:$BB$483,"21 a 40 Min.")</f>
        <v>0</v>
      </c>
      <c r="I35" s="27">
        <f>COUNTIFS(Ambulatorio!$M$73:$M$483,"Rayos X - TAC",Ambulatorio!$BC$73:$BC$483,"21 a 40 Min.")</f>
        <v>0</v>
      </c>
      <c r="J35" s="27">
        <f>COUNTIFS(Ambulatorio!$M$73:$M$483,"Rayos X - TAC",Ambulatorio!$BD$73:$BD$483,"21 a 40 Min.")</f>
        <v>0</v>
      </c>
      <c r="K35" s="27">
        <f>COUNTIFS(Ambulatorio!$M$73:$M$483,"Rayos X - TAC",Ambulatorio!$BE$73:$BE$483,"21 a 40 Min.")</f>
        <v>0</v>
      </c>
      <c r="L35" s="27">
        <f>COUNTIFS(Ambulatorio!$M$73:$M$483,"Rayos X - TAC",Ambulatorio!$BF$73:$BF$483,"21 a 40 Min.")</f>
        <v>0</v>
      </c>
      <c r="M35" s="27">
        <f>COUNTIFS(Ambulatorio!$M$73:$M$483,"Rayos X - TAC",Ambulatorio!$BG$73:$BG$483,"21 a 40 Min.")</f>
        <v>0</v>
      </c>
      <c r="N35" s="27">
        <f>COUNTIFS(Ambulatorio!$M$73:$M$483,"Rayos X - TAC",Ambulatorio!$BH$73:$BH$483,"21 a 40 Min.")</f>
        <v>0</v>
      </c>
      <c r="O35" s="27">
        <f>COUNTIFS(Ambulatorio!$M$73:$M$483,"Rayos X - TAC",Ambulatorio!$BI$73:$BI$483,"21 a 40 Min.")</f>
        <v>0</v>
      </c>
      <c r="P35" s="27">
        <f>COUNTIFS(Ambulatorio!$M$73:$M$483,"Rayos X - TAC",Ambulatorio!$BJ$73:$BJ$483,"21 a 40 Min.")</f>
        <v>0</v>
      </c>
      <c r="Q35" s="27">
        <f>COUNTIFS(Ambulatorio!$M$73:$M$483,"Rayos X - TAC",Ambulatorio!$BK$73:$BK$483,"21 a 40 Min.")</f>
        <v>0</v>
      </c>
      <c r="R35" s="27">
        <f>COUNTIFS(Ambulatorio!$M$73:$M$483,"Rayos X - TAC",Ambulatorio!$BL$73:$BL$483,"21 a 40 Min.")</f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77" t="s">
        <v>201</v>
      </c>
      <c r="B36" s="27">
        <f>COUNTIFS(Ambulatorio!$M$73:$M$483,"Rayos X - TAC",Ambulatorio!$AV$73:$AV$483,"41 Min o Más")</f>
        <v>0</v>
      </c>
      <c r="C36" s="27">
        <f>COUNTIFS(Ambulatorio!$M$73:$M$483,"Rayos X - TAC",Ambulatorio!$AW$73:$AW$483,"41 Min o Más")</f>
        <v>0</v>
      </c>
      <c r="D36" s="27">
        <f>COUNTIFS(Ambulatorio!$M$73:$M$483,"Rayos X - TAC",Ambulatorio!$AX$73:$AX$483,"41 Min o Más")</f>
        <v>0</v>
      </c>
      <c r="E36" s="27">
        <f>COUNTIFS(Ambulatorio!$M$73:$M$483,"Rayos X - TAC",Ambulatorio!$AY$73:$AY$483,"41 Min o Más")</f>
        <v>0</v>
      </c>
      <c r="F36" s="27">
        <f>COUNTIFS(Ambulatorio!$M$73:$M$483,"Rayos X - TAC",Ambulatorio!$AZ$73:$AZ$483,"41 Min o Más")</f>
        <v>0</v>
      </c>
      <c r="G36" s="27">
        <f>COUNTIFS(Ambulatorio!$M$73:$M$483,"Rayos X - TAC",Ambulatorio!$BA$73:$BA$483,"41 Min o Más")</f>
        <v>0</v>
      </c>
      <c r="H36" s="27">
        <f>COUNTIFS(Ambulatorio!$M$73:$M$483,"Rayos X - TAC",Ambulatorio!$BB$73:$BB$483,"41 Min o Más")</f>
        <v>0</v>
      </c>
      <c r="I36" s="27">
        <f>COUNTIFS(Ambulatorio!$M$73:$M$483,"Rayos X - TAC",Ambulatorio!$BC$73:$BC$483,"41 Min o Más")</f>
        <v>0</v>
      </c>
      <c r="J36" s="27">
        <f>COUNTIFS(Ambulatorio!$M$73:$M$483,"Rayos X - TAC",Ambulatorio!$BD$73:$BD$483,"41 Min o Más")</f>
        <v>0</v>
      </c>
      <c r="K36" s="27">
        <f>COUNTIFS(Ambulatorio!$M$73:$M$483,"Rayos X - TAC",Ambulatorio!$BE$73:$BE$483,"41 Min o Más")</f>
        <v>0</v>
      </c>
      <c r="L36" s="27">
        <f>COUNTIFS(Ambulatorio!$M$73:$M$483,"Rayos X - TAC",Ambulatorio!$BF$73:$BF$483,"41 Min o Más")</f>
        <v>0</v>
      </c>
      <c r="M36" s="27">
        <f>COUNTIFS(Ambulatorio!$M$73:$M$483,"Rayos X - TAC",Ambulatorio!$BG$73:$BG$483,"41 Min o Más")</f>
        <v>0</v>
      </c>
      <c r="N36" s="27">
        <f>COUNTIFS(Ambulatorio!$M$73:$M$483,"Rayos X - TAC",Ambulatorio!$BH$73:$BH$483,"41 Min o Más")</f>
        <v>0</v>
      </c>
      <c r="O36" s="27">
        <f>COUNTIFS(Ambulatorio!$M$73:$M$483,"Rayos X - TAC",Ambulatorio!$BI$73:$BI$483,"41 Min o Más")</f>
        <v>0</v>
      </c>
      <c r="P36" s="27">
        <f>COUNTIFS(Ambulatorio!$M$73:$M$483,"Rayos X - TAC",Ambulatorio!$BJ$73:$BJ$483,"41 Min o Más")</f>
        <v>0</v>
      </c>
      <c r="Q36" s="27">
        <f>COUNTIFS(Ambulatorio!$M$73:$M$483,"Rayos X - TAC",Ambulatorio!$BK$73:$BK$483,"41 Min o Más")</f>
        <v>0</v>
      </c>
      <c r="R36" s="27">
        <f>COUNTIFS(Ambulatorio!$M$73:$M$483,"Rayos X - TAC",Ambulatorio!$BL$73:$BL$483,"41 Min o Más")</f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>
      <c r="A37" s="77" t="s">
        <v>204</v>
      </c>
      <c r="B37" s="27">
        <f>COUNTIFS(Ambulatorio!$M$73:$M$483,"Rayos X - TAC",Ambulatorio!$AV$73:$AV$483,"N/A")</f>
        <v>0</v>
      </c>
      <c r="C37" s="27">
        <f>COUNTIFS(Ambulatorio!$M$73:$M$483,"Rayos X - TAC",Ambulatorio!$AW$73:$AW$483,"N/A")</f>
        <v>0</v>
      </c>
      <c r="D37" s="27">
        <f>COUNTIFS(Ambulatorio!$M$73:$M$483,"Rayos X - TAC",Ambulatorio!$AX$73:$AX$483,"N/A")</f>
        <v>0</v>
      </c>
      <c r="E37" s="27">
        <f>COUNTIFS(Ambulatorio!$M$73:$M$483,"Rayos X - TAC",Ambulatorio!$AY$73:$AY$483,"N/A")</f>
        <v>0</v>
      </c>
      <c r="F37" s="27">
        <f>COUNTIFS(Ambulatorio!$M$73:$M$483,"Rayos X - TAC",Ambulatorio!$AZ$73:$AZ$483,"N/A")</f>
        <v>0</v>
      </c>
      <c r="G37" s="27">
        <f>COUNTIFS(Ambulatorio!$M$73:$M$483,"Rayos X - TAC",Ambulatorio!$BA$73:$BA$483,"N/A")</f>
        <v>0</v>
      </c>
      <c r="H37" s="27">
        <f>COUNTIFS(Ambulatorio!$M$73:$M$483,"Rayos X - TAC",Ambulatorio!$BB$73:$BB$483,"N/A")</f>
        <v>0</v>
      </c>
      <c r="I37" s="27">
        <f>COUNTIFS(Ambulatorio!$M$73:$M$483,"Rayos X - TAC",Ambulatorio!$BC$73:$BC$483,"N/A")</f>
        <v>0</v>
      </c>
      <c r="J37" s="27">
        <f>COUNTIFS(Ambulatorio!$M$73:$M$483,"Rayos X - TAC",Ambulatorio!$BD$73:$BD$483,"N/A")</f>
        <v>0</v>
      </c>
      <c r="K37" s="27">
        <f>COUNTIFS(Ambulatorio!$M$73:$M$483,"Rayos X - TAC",Ambulatorio!$BE$73:$BE$483,"N/A")</f>
        <v>0</v>
      </c>
      <c r="L37" s="27">
        <f>COUNTIFS(Ambulatorio!$M$73:$M$483,"Rayos X - TAC",Ambulatorio!$BF$73:$BF$483,"N/A")</f>
        <v>0</v>
      </c>
      <c r="M37" s="27">
        <f>COUNTIFS(Ambulatorio!$M$73:$M$483,"Rayos X - TAC",Ambulatorio!$BG$73:$BG$483,"N/A")</f>
        <v>0</v>
      </c>
      <c r="N37" s="27">
        <f>COUNTIFS(Ambulatorio!$M$73:$M$483,"Rayos X - TAC",Ambulatorio!$BH$73:$BH$483,"N/A")</f>
        <v>0</v>
      </c>
      <c r="O37" s="27">
        <f>COUNTIFS(Ambulatorio!$M$73:$M$483,"Rayos X - TAC",Ambulatorio!$BI$73:$BI$483,"N/A")</f>
        <v>0</v>
      </c>
      <c r="P37" s="27">
        <f>COUNTIFS(Ambulatorio!$M$73:$M$483,"Rayos X - TAC",Ambulatorio!$BJ$73:$BJ$483,"N/A")</f>
        <v>0</v>
      </c>
      <c r="Q37" s="27">
        <f>COUNTIFS(Ambulatorio!$M$73:$M$483,"Rayos X - TAC",Ambulatorio!$BK$73:$BK$483,"N/A")</f>
        <v>0</v>
      </c>
      <c r="R37" s="27">
        <f>COUNTIFS(Ambulatorio!$M$73:$M$483,"Rayos X - TAC",Ambulatorio!$BL$73:$BL$483,"N/A")</f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25"/>
      <c r="B38" s="27">
        <f>SUM(B34:B37)</f>
        <v>0</v>
      </c>
      <c r="C38" s="27">
        <f t="shared" ref="C38:R38" si="4">SUM(C34:C37)</f>
        <v>0</v>
      </c>
      <c r="D38" s="27">
        <f t="shared" si="4"/>
        <v>0</v>
      </c>
      <c r="E38" s="27">
        <f t="shared" si="4"/>
        <v>0</v>
      </c>
      <c r="F38" s="27">
        <f t="shared" si="4"/>
        <v>0</v>
      </c>
      <c r="G38" s="27">
        <f t="shared" si="4"/>
        <v>0</v>
      </c>
      <c r="H38" s="27">
        <f t="shared" si="4"/>
        <v>0</v>
      </c>
      <c r="I38" s="27">
        <f t="shared" si="4"/>
        <v>0</v>
      </c>
      <c r="J38" s="27">
        <f t="shared" si="4"/>
        <v>0</v>
      </c>
      <c r="K38" s="27">
        <f t="shared" si="4"/>
        <v>0</v>
      </c>
      <c r="L38" s="27">
        <f t="shared" si="4"/>
        <v>0</v>
      </c>
      <c r="M38" s="27">
        <f t="shared" si="4"/>
        <v>0</v>
      </c>
      <c r="N38" s="27">
        <f t="shared" si="4"/>
        <v>0</v>
      </c>
      <c r="O38" s="27">
        <f t="shared" si="4"/>
        <v>0</v>
      </c>
      <c r="P38" s="27">
        <f t="shared" si="4"/>
        <v>0</v>
      </c>
      <c r="Q38" s="27">
        <f t="shared" si="4"/>
        <v>0</v>
      </c>
      <c r="R38" s="27">
        <f t="shared" si="4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5.4" customHeight="1">
      <c r="A41" s="25"/>
      <c r="B41" s="183" t="s">
        <v>129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</row>
    <row r="42" spans="1:33" ht="39.75" customHeight="1">
      <c r="A42" s="25"/>
      <c r="B42" s="76" t="s">
        <v>185</v>
      </c>
      <c r="C42" s="76" t="s">
        <v>186</v>
      </c>
      <c r="D42" s="76" t="s">
        <v>187</v>
      </c>
      <c r="E42" s="76" t="s">
        <v>188</v>
      </c>
      <c r="F42" s="76" t="s">
        <v>189</v>
      </c>
      <c r="G42" s="76" t="s">
        <v>190</v>
      </c>
      <c r="H42" s="76" t="s">
        <v>191</v>
      </c>
      <c r="I42" s="76" t="s">
        <v>192</v>
      </c>
      <c r="J42" s="76" t="s">
        <v>104</v>
      </c>
      <c r="K42" s="76" t="s">
        <v>193</v>
      </c>
      <c r="L42" s="76" t="s">
        <v>105</v>
      </c>
      <c r="M42" s="76" t="s">
        <v>194</v>
      </c>
      <c r="N42" s="76" t="s">
        <v>195</v>
      </c>
      <c r="O42" s="76" t="s">
        <v>196</v>
      </c>
      <c r="P42" s="76" t="s">
        <v>134</v>
      </c>
      <c r="Q42" s="76" t="s">
        <v>197</v>
      </c>
      <c r="R42" s="76" t="s">
        <v>198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5" t="s">
        <v>199</v>
      </c>
      <c r="B43" s="27">
        <f>COUNTIFS(Ambulatorio!$M$73:$M$483,"Rehabilitación",Ambulatorio!$AV$73:$AV$483,"0 - 20 Min.")</f>
        <v>0</v>
      </c>
      <c r="C43" s="27">
        <f>COUNTIFS(Ambulatorio!$M$73:$M$483,"Rehabilitación",Ambulatorio!$AW$73:$AW$483,"0 - 20 Min.")</f>
        <v>0</v>
      </c>
      <c r="D43" s="27">
        <f>COUNTIFS(Ambulatorio!$M$73:$M$483,"Rehabilitación",Ambulatorio!$AX$73:$AX$483,"0 - 20 Min.")</f>
        <v>0</v>
      </c>
      <c r="E43" s="27">
        <f>COUNTIFS(Ambulatorio!$M$73:$M$483,"Rehabilitación",Ambulatorio!$AY$73:$AY$483,"0 - 20 Min.")</f>
        <v>0</v>
      </c>
      <c r="F43" s="27">
        <f>COUNTIFS(Ambulatorio!$M$73:$M$483,"Rehabilitación",Ambulatorio!$AZ$73:$AZ$483,"0 - 20 Min.")</f>
        <v>0</v>
      </c>
      <c r="G43" s="27">
        <f>COUNTIFS(Ambulatorio!$M$73:$M$483,"Rehabilitación",Ambulatorio!$BA$73:$BA$483,"0 - 20 Min.")</f>
        <v>0</v>
      </c>
      <c r="H43" s="27">
        <f>COUNTIFS(Ambulatorio!$M$73:$M$483,"Rehabilitación",Ambulatorio!$BB$73:$BB$483,"0 - 20 Min.")</f>
        <v>0</v>
      </c>
      <c r="I43" s="27">
        <f>COUNTIFS(Ambulatorio!$M$73:$M$483,"Rehabilitación",Ambulatorio!$BC$73:$BC$483,"0 - 20 Min.")</f>
        <v>0</v>
      </c>
      <c r="J43" s="27">
        <f>COUNTIFS(Ambulatorio!$M$73:$M$483,"Rehabilitación",Ambulatorio!$BD$73:$BD$483,"0 - 20 Min.")</f>
        <v>0</v>
      </c>
      <c r="K43" s="27">
        <f>COUNTIFS(Ambulatorio!$M$73:$M$483,"Rehabilitación",Ambulatorio!$BE$73:$BE$483,"0 - 20 Min.")</f>
        <v>0</v>
      </c>
      <c r="L43" s="27">
        <f>COUNTIFS(Ambulatorio!$M$73:$M$483,"Rehabilitación",Ambulatorio!$BF$73:$BF$483,"0 - 20 Min.")</f>
        <v>0</v>
      </c>
      <c r="M43" s="27">
        <f>COUNTIFS(Ambulatorio!$M$73:$M$483,"Rehabilitación",Ambulatorio!$BG$73:$BG$483,"0 - 20 Min.")</f>
        <v>0</v>
      </c>
      <c r="N43" s="27">
        <f>COUNTIFS(Ambulatorio!$M$73:$M$483,"Rehabilitación",Ambulatorio!$BH$73:$BH$483,"0 - 20 Min.")</f>
        <v>0</v>
      </c>
      <c r="O43" s="27">
        <f>COUNTIFS(Ambulatorio!$M$73:$M$483,"Rehabilitación",Ambulatorio!$BI$73:$BI$483,"0 - 20 Min.")</f>
        <v>0</v>
      </c>
      <c r="P43" s="27">
        <f>COUNTIFS(Ambulatorio!$M$73:$M$483,"Rehabilitación",Ambulatorio!$BJ$73:$BJ$483,"0 - 20 Min.")</f>
        <v>0</v>
      </c>
      <c r="Q43" s="27">
        <f>COUNTIFS(Ambulatorio!$M$73:$M$483,"Rehabilitación",Ambulatorio!$BK$73:$BK$483,"0 - 20 Min.")</f>
        <v>0</v>
      </c>
      <c r="R43" s="27">
        <f>COUNTIFS(Ambulatorio!$M$73:$M$483,"Rehabilitación",Ambulatorio!$BL$73:$BL$483,"0 - 20 Min.")</f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" customHeight="1">
      <c r="A44" s="5" t="s">
        <v>200</v>
      </c>
      <c r="B44" s="27">
        <f>COUNTIFS(Ambulatorio!$M$73:$M$483,"Rehabilitación",Ambulatorio!$AV$73:$AV$483,"21 a 40 Min.")</f>
        <v>0</v>
      </c>
      <c r="C44" s="27">
        <f>COUNTIFS(Ambulatorio!$M$73:$M$483,"Rehabilitación",Ambulatorio!$AW$73:$AW$483,"21 a 40 Min.")</f>
        <v>0</v>
      </c>
      <c r="D44" s="27">
        <f>COUNTIFS(Ambulatorio!$M$73:$M$483,"Rehabilitación",Ambulatorio!$AX$73:$AX$483,"21 a 40 Min.")</f>
        <v>0</v>
      </c>
      <c r="E44" s="27">
        <f>COUNTIFS(Ambulatorio!$M$73:$M$483,"Rehabilitación",Ambulatorio!$AY$73:$AY$483,"21 a 40 Min.")</f>
        <v>0</v>
      </c>
      <c r="F44" s="27">
        <f>COUNTIFS(Ambulatorio!$M$73:$M$483,"Rehabilitación",Ambulatorio!$AZ$73:$AZ$483,"21 a 40 Min.")</f>
        <v>0</v>
      </c>
      <c r="G44" s="27">
        <f>COUNTIFS(Ambulatorio!$M$73:$M$483,"Rehabilitación",Ambulatorio!$BA$73:$BA$483,"21 a 40 Min.")</f>
        <v>0</v>
      </c>
      <c r="H44" s="27">
        <f>COUNTIFS(Ambulatorio!$M$73:$M$483,"Rehabilitación",Ambulatorio!$BB$73:$BB$483,"21 a 40 Min.")</f>
        <v>0</v>
      </c>
      <c r="I44" s="27">
        <f>COUNTIFS(Ambulatorio!$M$73:$M$483,"Rehabilitación",Ambulatorio!$BC$73:$BC$483,"21 a 40 Min.")</f>
        <v>0</v>
      </c>
      <c r="J44" s="27">
        <f>COUNTIFS(Ambulatorio!$M$73:$M$483,"Rehabilitación",Ambulatorio!$BD$73:$BD$483,"21 a 40 Min.")</f>
        <v>0</v>
      </c>
      <c r="K44" s="27">
        <f>COUNTIFS(Ambulatorio!$M$73:$M$483,"Rehabilitación",Ambulatorio!$BE$73:$BE$483,"21 a 40 Min.")</f>
        <v>0</v>
      </c>
      <c r="L44" s="27">
        <f>COUNTIFS(Ambulatorio!$M$73:$M$483,"Rehabilitación",Ambulatorio!$BF$73:$BF$483,"21 a 40 Min.")</f>
        <v>0</v>
      </c>
      <c r="M44" s="27">
        <f>COUNTIFS(Ambulatorio!$M$73:$M$483,"Rehabilitación",Ambulatorio!$BG$73:$BG$483,"21 a 40 Min.")</f>
        <v>0</v>
      </c>
      <c r="N44" s="27">
        <f>COUNTIFS(Ambulatorio!$M$73:$M$483,"Rehabilitación",Ambulatorio!$BH$73:$BH$483,"21 a 40 Min.")</f>
        <v>0</v>
      </c>
      <c r="O44" s="27">
        <f>COUNTIFS(Ambulatorio!$M$73:$M$483,"Rehabilitación",Ambulatorio!$BI$73:$BI$483,"21 a 40 Min.")</f>
        <v>0</v>
      </c>
      <c r="P44" s="27">
        <f>COUNTIFS(Ambulatorio!$M$73:$M$483,"Rehabilitación",Ambulatorio!$BJ$73:$BJ$483,"21 a 40 Min.")</f>
        <v>0</v>
      </c>
      <c r="Q44" s="27">
        <f>COUNTIFS(Ambulatorio!$M$73:$M$483,"Rehabilitación",Ambulatorio!$BK$73:$BK$483,"21 a 40 Min.")</f>
        <v>0</v>
      </c>
      <c r="R44" s="27">
        <f>COUNTIFS(Ambulatorio!$M$73:$M$483,"Rehabilitación",Ambulatorio!$BL$73:$BL$483,"21 a 40 Min.")</f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77" t="s">
        <v>201</v>
      </c>
      <c r="B45" s="27">
        <f>COUNTIFS(Ambulatorio!$M$73:$M$483,"Rehabilitación",Ambulatorio!$AV$73:$AV$483,"41 Min o Más")</f>
        <v>0</v>
      </c>
      <c r="C45" s="27">
        <f>COUNTIFS(Ambulatorio!$M$73:$M$483,"Rehabilitación",Ambulatorio!$AW$73:$AW$483,"41 Min o Más")</f>
        <v>0</v>
      </c>
      <c r="D45" s="27">
        <f>COUNTIFS(Ambulatorio!$M$73:$M$483,"Rehabilitación",Ambulatorio!$AX$73:$AX$483,"41 Min o Más")</f>
        <v>0</v>
      </c>
      <c r="E45" s="27">
        <f>COUNTIFS(Ambulatorio!$M$73:$M$483,"Rehabilitación",Ambulatorio!$AY$73:$AY$483,"41 Min o Más")</f>
        <v>0</v>
      </c>
      <c r="F45" s="27">
        <f>COUNTIFS(Ambulatorio!$M$73:$M$483,"Rehabilitación",Ambulatorio!$AZ$73:$AZ$483,"41 Min o Más")</f>
        <v>0</v>
      </c>
      <c r="G45" s="27">
        <f>COUNTIFS(Ambulatorio!$M$73:$M$483,"Rehabilitación",Ambulatorio!$BA$73:$BA$483,"41 Min o Más")</f>
        <v>0</v>
      </c>
      <c r="H45" s="27">
        <f>COUNTIFS(Ambulatorio!$M$73:$M$483,"Rehabilitación",Ambulatorio!$BB$73:$BB$483,"41 Min o Más")</f>
        <v>0</v>
      </c>
      <c r="I45" s="27">
        <f>COUNTIFS(Ambulatorio!$M$73:$M$483,"Rehabilitación",Ambulatorio!$BC$73:$BC$483,"41 Min o Más")</f>
        <v>0</v>
      </c>
      <c r="J45" s="27">
        <f>COUNTIFS(Ambulatorio!$M$73:$M$483,"Rehabilitación",Ambulatorio!$BD$73:$BD$483,"41 Min o Más")</f>
        <v>0</v>
      </c>
      <c r="K45" s="27">
        <f>COUNTIFS(Ambulatorio!$M$73:$M$483,"Rehabilitación",Ambulatorio!$BE$73:$BE$483,"41 Min o Más")</f>
        <v>0</v>
      </c>
      <c r="L45" s="27">
        <f>COUNTIFS(Ambulatorio!$M$73:$M$483,"Rehabilitación",Ambulatorio!$BF$73:$BF$483,"41 Min o Más")</f>
        <v>0</v>
      </c>
      <c r="M45" s="27">
        <f>COUNTIFS(Ambulatorio!$M$73:$M$483,"Rehabilitación",Ambulatorio!$BG$73:$BG$483,"41 Min o Más")</f>
        <v>0</v>
      </c>
      <c r="N45" s="27">
        <f>COUNTIFS(Ambulatorio!$M$73:$M$483,"Rehabilitación",Ambulatorio!$BH$73:$BH$483,"41 Min o Más")</f>
        <v>0</v>
      </c>
      <c r="O45" s="27">
        <f>COUNTIFS(Ambulatorio!$M$73:$M$483,"Rehabilitación",Ambulatorio!$BI$73:$BI$483,"41 Min o Más")</f>
        <v>0</v>
      </c>
      <c r="P45" s="27">
        <f>COUNTIFS(Ambulatorio!$M$73:$M$483,"Rehabilitación",Ambulatorio!$BJ$73:$BJ$483,"41 Min o Más")</f>
        <v>0</v>
      </c>
      <c r="Q45" s="27">
        <f>COUNTIFS(Ambulatorio!$M$73:$M$483,"Rehabilitación",Ambulatorio!$BK$73:$BK$483,"41 Min o Más")</f>
        <v>0</v>
      </c>
      <c r="R45" s="27">
        <f>COUNTIFS(Ambulatorio!$M$73:$M$483,"Rehabilitación",Ambulatorio!$BL$73:$BL$483,"41 Min o Más")</f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77" t="s">
        <v>204</v>
      </c>
      <c r="B46" s="27">
        <f>COUNTIFS(Ambulatorio!$M$73:$M$483,"Rehabilitación",Ambulatorio!$AV$73:$AV$483,"N/A")</f>
        <v>0</v>
      </c>
      <c r="C46" s="27">
        <f>COUNTIFS(Ambulatorio!$M$73:$M$483,"Rehabilitación",Ambulatorio!$AW$73:$AW$483,"N/A")</f>
        <v>0</v>
      </c>
      <c r="D46" s="27">
        <f>COUNTIFS(Ambulatorio!$M$73:$M$483,"Rehabilitación",Ambulatorio!$AX$73:$AX$483,"N/A")</f>
        <v>0</v>
      </c>
      <c r="E46" s="27">
        <f>COUNTIFS(Ambulatorio!$M$73:$M$483,"Rehabilitación",Ambulatorio!$AY$73:$AY$483,"N/A")</f>
        <v>0</v>
      </c>
      <c r="F46" s="27">
        <f>COUNTIFS(Ambulatorio!$M$73:$M$483,"Rehabilitación",Ambulatorio!$AZ$73:$AZ$483,"N/A")</f>
        <v>0</v>
      </c>
      <c r="G46" s="27">
        <f>COUNTIFS(Ambulatorio!$M$73:$M$483,"Rehabilitación",Ambulatorio!$BA$73:$BA$483,"N/A")</f>
        <v>0</v>
      </c>
      <c r="H46" s="27">
        <f>COUNTIFS(Ambulatorio!$M$73:$M$483,"Rehabilitación",Ambulatorio!$BB$73:$BB$483,"N/A")</f>
        <v>0</v>
      </c>
      <c r="I46" s="27">
        <f>COUNTIFS(Ambulatorio!$M$73:$M$483,"Rehabilitación",Ambulatorio!$BC$73:$BC$483,"N/A")</f>
        <v>0</v>
      </c>
      <c r="J46" s="27">
        <f>COUNTIFS(Ambulatorio!$M$73:$M$483,"Rehabilitación",Ambulatorio!$BD$73:$BD$483,"N/A")</f>
        <v>0</v>
      </c>
      <c r="K46" s="27">
        <f>COUNTIFS(Ambulatorio!$M$73:$M$483,"Rehabilitación",Ambulatorio!$BE$73:$BE$483,"N/A")</f>
        <v>0</v>
      </c>
      <c r="L46" s="27">
        <f>COUNTIFS(Ambulatorio!$M$73:$M$483,"Rehabilitación",Ambulatorio!$BF$73:$BF$483,"N/A")</f>
        <v>0</v>
      </c>
      <c r="M46" s="27">
        <f>COUNTIFS(Ambulatorio!$M$73:$M$483,"Rehabilitación",Ambulatorio!$BG$73:$BG$483,"N/A")</f>
        <v>0</v>
      </c>
      <c r="N46" s="27">
        <f>COUNTIFS(Ambulatorio!$M$73:$M$483,"Rehabilitación",Ambulatorio!$BH$73:$BH$483,"N/A")</f>
        <v>0</v>
      </c>
      <c r="O46" s="27">
        <f>COUNTIFS(Ambulatorio!$M$73:$M$483,"Rehabilitación",Ambulatorio!$BI$73:$BI$483,"N/A")</f>
        <v>0</v>
      </c>
      <c r="P46" s="27">
        <f>COUNTIFS(Ambulatorio!$M$73:$M$483,"Rehabilitación",Ambulatorio!$BJ$73:$BJ$483,"N/A")</f>
        <v>0</v>
      </c>
      <c r="Q46" s="27">
        <f>COUNTIFS(Ambulatorio!$M$73:$M$483,"Rehabilitación",Ambulatorio!$BK$73:$BK$483,"N/A")</f>
        <v>0</v>
      </c>
      <c r="R46" s="27">
        <f>COUNTIFS(Ambulatorio!$M$73:$M$483,"Rehabilitación",Ambulatorio!$BL$73:$BL$483,"N/A")</f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25"/>
      <c r="B47" s="27">
        <f>SUM(B43:B46)</f>
        <v>0</v>
      </c>
      <c r="C47" s="27">
        <f t="shared" ref="C47:R47" si="5">SUM(C43:C46)</f>
        <v>0</v>
      </c>
      <c r="D47" s="27">
        <f t="shared" si="5"/>
        <v>0</v>
      </c>
      <c r="E47" s="27">
        <f t="shared" si="5"/>
        <v>0</v>
      </c>
      <c r="F47" s="27">
        <f t="shared" si="5"/>
        <v>0</v>
      </c>
      <c r="G47" s="27">
        <f t="shared" si="5"/>
        <v>0</v>
      </c>
      <c r="H47" s="27">
        <f t="shared" si="5"/>
        <v>0</v>
      </c>
      <c r="I47" s="27">
        <f t="shared" si="5"/>
        <v>0</v>
      </c>
      <c r="J47" s="27">
        <f t="shared" si="5"/>
        <v>0</v>
      </c>
      <c r="K47" s="27">
        <f t="shared" si="5"/>
        <v>0</v>
      </c>
      <c r="L47" s="27">
        <f t="shared" si="5"/>
        <v>0</v>
      </c>
      <c r="M47" s="27">
        <f t="shared" si="5"/>
        <v>0</v>
      </c>
      <c r="N47" s="27">
        <f t="shared" si="5"/>
        <v>0</v>
      </c>
      <c r="O47" s="27">
        <f t="shared" si="5"/>
        <v>0</v>
      </c>
      <c r="P47" s="27">
        <f t="shared" si="5"/>
        <v>0</v>
      </c>
      <c r="Q47" s="27">
        <f t="shared" si="5"/>
        <v>0</v>
      </c>
      <c r="R47" s="27">
        <f t="shared" si="5"/>
        <v>0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5.4" customHeight="1">
      <c r="A50" s="25"/>
      <c r="B50" s="189" t="s">
        <v>205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1:33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76" t="s">
        <v>104</v>
      </c>
      <c r="K51" s="76" t="s">
        <v>193</v>
      </c>
      <c r="L51" s="76" t="s">
        <v>105</v>
      </c>
      <c r="M51" s="76" t="s">
        <v>194</v>
      </c>
      <c r="N51" s="76" t="s">
        <v>195</v>
      </c>
      <c r="O51" s="76" t="s">
        <v>196</v>
      </c>
      <c r="P51" s="76" t="s">
        <v>134</v>
      </c>
      <c r="Q51" s="76" t="s">
        <v>197</v>
      </c>
      <c r="R51" s="76" t="s">
        <v>198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5" t="s">
        <v>199</v>
      </c>
      <c r="B52" s="27">
        <f>COUNTIFS(Ambulatorio!$M$73:$M$483,"Servicios Complementarios",Ambulatorio!$AV$73:$AV$483,"0 - 20 Min.")</f>
        <v>0</v>
      </c>
      <c r="C52" s="27">
        <f>COUNTIFS(Ambulatorio!$M$73:$M$483,"Servicios Complementarios",Ambulatorio!$AW$73:$AW$483,"0 - 20 Min.")</f>
        <v>0</v>
      </c>
      <c r="D52" s="27">
        <f>COUNTIFS(Ambulatorio!$M$73:$M$483,"Servicios Complementarios",Ambulatorio!$AX$73:$AX$483,"0 - 20 Min.")</f>
        <v>0</v>
      </c>
      <c r="E52" s="27">
        <f>COUNTIFS(Ambulatorio!$M$73:$M$483,"Servicios Complementarios",Ambulatorio!$AY$73:$AY$483,"0 - 20 Min.")</f>
        <v>0</v>
      </c>
      <c r="F52" s="27">
        <f>COUNTIFS(Ambulatorio!$M$73:$M$483,"Servicios Complementarios",Ambulatorio!$AZ$73:$AZ$483,"0 - 20 Min.")</f>
        <v>0</v>
      </c>
      <c r="G52" s="27">
        <f>COUNTIFS(Ambulatorio!$M$73:$M$483,"Servicios Complementarios",Ambulatorio!$BA$73:$BA$483,"0 - 20 Min.")</f>
        <v>0</v>
      </c>
      <c r="H52" s="27">
        <f>COUNTIFS(Ambulatorio!$M$73:$M$483,"Servicios Complementarios",Ambulatorio!$BB$73:$BB$483,"0 - 20 Min.")</f>
        <v>0</v>
      </c>
      <c r="I52" s="27">
        <f>COUNTIFS(Ambulatorio!$M$73:$M$483,"Servicios Complementarios",Ambulatorio!$BC$73:$BC$483,"0 - 20 Min.")</f>
        <v>0</v>
      </c>
      <c r="J52" s="27">
        <f>COUNTIFS(Ambulatorio!$M$73:$M$483,"Servicios Complementarios",Ambulatorio!$BD$73:$BD$483,"0 - 20 Min.")</f>
        <v>0</v>
      </c>
      <c r="K52" s="27">
        <f>COUNTIFS(Ambulatorio!$M$73:$M$483,"Servicios Complementarios",Ambulatorio!$BE$73:$BE$483,"0 - 20 Min.")</f>
        <v>0</v>
      </c>
      <c r="L52" s="27">
        <f>COUNTIFS(Ambulatorio!$M$73:$M$483,"Servicios Complementarios",Ambulatorio!$BF$73:$BF$483,"0 - 20 Min.")</f>
        <v>0</v>
      </c>
      <c r="M52" s="27">
        <f>COUNTIFS(Ambulatorio!$M$73:$M$483,"Servicios Complementarios",Ambulatorio!$BG$73:$BG$483,"0 - 20 Min.")</f>
        <v>0</v>
      </c>
      <c r="N52" s="27">
        <f>COUNTIFS(Ambulatorio!$M$73:$M$483,"Servicios Complementarios",Ambulatorio!$BH$73:$BH$483,"0 - 20 Min.")</f>
        <v>0</v>
      </c>
      <c r="O52" s="27">
        <f>COUNTIFS(Ambulatorio!$M$73:$M$483,"Servicios Complementarios",Ambulatorio!$BI$73:$BI$483,"0 - 20 Min.")</f>
        <v>0</v>
      </c>
      <c r="P52" s="27">
        <f>COUNTIFS(Ambulatorio!$M$73:$M$483,"Servicios Complementarios",Ambulatorio!$BJ$73:$BJ$483,"0 - 20 Min.")</f>
        <v>0</v>
      </c>
      <c r="Q52" s="27">
        <f>COUNTIFS(Ambulatorio!$M$73:$M$483,"Servicios Complementarios",Ambulatorio!$BK$73:$BK$483,"0 - 20 Min.")</f>
        <v>0</v>
      </c>
      <c r="R52" s="27">
        <f>COUNTIFS(Ambulatorio!$M$73:$M$483,"Servicios Complementarios",Ambulatorio!$BL$73:$BL$483,"0 - 20 Min.")</f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t="18" customHeight="1">
      <c r="A53" s="5" t="s">
        <v>200</v>
      </c>
      <c r="B53" s="27">
        <f>COUNTIFS(Ambulatorio!$M$73:$M$483,"Servicios Complementarios",Ambulatorio!$AV$73:$AV$483,"21 a 40 Min.")</f>
        <v>0</v>
      </c>
      <c r="C53" s="27">
        <f>COUNTIFS(Ambulatorio!$M$73:$M$483,"Servicios Complementarios",Ambulatorio!$AW$73:$AW$483,"21 a 40 Min.")</f>
        <v>0</v>
      </c>
      <c r="D53" s="27">
        <f>COUNTIFS(Ambulatorio!$M$73:$M$483,"Servicios Complementarios",Ambulatorio!$AX$73:$AX$483,"21 a 40 Min.")</f>
        <v>0</v>
      </c>
      <c r="E53" s="27">
        <f>COUNTIFS(Ambulatorio!$M$73:$M$483,"Servicios Complementarios",Ambulatorio!$AY$73:$AY$483,"21 a 40 Min.")</f>
        <v>0</v>
      </c>
      <c r="F53" s="27">
        <f>COUNTIFS(Ambulatorio!$M$73:$M$483,"Servicios Complementarios",Ambulatorio!$AZ$73:$AZ$483,"21 a 40 Min.")</f>
        <v>0</v>
      </c>
      <c r="G53" s="27">
        <f>COUNTIFS(Ambulatorio!$M$73:$M$483,"Servicios Complementarios",Ambulatorio!$BA$73:$BA$483,"21 a 40 Min.")</f>
        <v>0</v>
      </c>
      <c r="H53" s="27">
        <f>COUNTIFS(Ambulatorio!$M$73:$M$483,"Servicios Complementarios",Ambulatorio!$BB$73:$BB$483,"21 a 40 Min.")</f>
        <v>0</v>
      </c>
      <c r="I53" s="27">
        <f>COUNTIFS(Ambulatorio!$M$73:$M$483,"Servicios Complementarios",Ambulatorio!$BC$73:$BC$483,"21 a 40 Min.")</f>
        <v>0</v>
      </c>
      <c r="J53" s="27">
        <f>COUNTIFS(Ambulatorio!$M$73:$M$483,"Servicios Complementarios",Ambulatorio!$BD$73:$BD$483,"21 a 40 Min.")</f>
        <v>0</v>
      </c>
      <c r="K53" s="27">
        <f>COUNTIFS(Ambulatorio!$M$73:$M$483,"Servicios Complementarios",Ambulatorio!$BE$73:$BE$483,"21 a 40 Min.")</f>
        <v>0</v>
      </c>
      <c r="L53" s="27">
        <f>COUNTIFS(Ambulatorio!$M$73:$M$483,"Servicios Complementarios",Ambulatorio!$BF$73:$BF$483,"21 a 40 Min.")</f>
        <v>0</v>
      </c>
      <c r="M53" s="27">
        <f>COUNTIFS(Ambulatorio!$M$73:$M$483,"Servicios Complementarios",Ambulatorio!$BG$73:$BG$483,"21 a 40 Min.")</f>
        <v>0</v>
      </c>
      <c r="N53" s="27">
        <f>COUNTIFS(Ambulatorio!$M$73:$M$483,"Servicios Complementarios",Ambulatorio!$BH$73:$BH$483,"21 a 40 Min.")</f>
        <v>0</v>
      </c>
      <c r="O53" s="27">
        <f>COUNTIFS(Ambulatorio!$M$73:$M$483,"Servicios Complementarios",Ambulatorio!$BI$73:$BI$483,"21 a 40 Min.")</f>
        <v>0</v>
      </c>
      <c r="P53" s="27">
        <f>COUNTIFS(Ambulatorio!$M$73:$M$483,"Servicios Complementarios",Ambulatorio!$BJ$73:$BJ$483,"21 a 40 Min.")</f>
        <v>0</v>
      </c>
      <c r="Q53" s="27">
        <f>COUNTIFS(Ambulatorio!$M$73:$M$483,"Servicios Complementarios",Ambulatorio!$BK$73:$BK$483,"21 a 40 Min.")</f>
        <v>0</v>
      </c>
      <c r="R53" s="27">
        <f>COUNTIFS(Ambulatorio!$M$73:$M$483,"Servicios Complementarios",Ambulatorio!$BL$73:$BL$483,"21 a 40 Min.")</f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77" t="s">
        <v>201</v>
      </c>
      <c r="B54" s="27">
        <f>COUNTIFS(Ambulatorio!$M$73:$M$483,"Servicios Complementarios",Ambulatorio!$AV$73:$AV$483,"41 Min o Más")</f>
        <v>0</v>
      </c>
      <c r="C54" s="27">
        <f>COUNTIFS(Ambulatorio!$M$73:$M$483,"Servicios Complementarios",Ambulatorio!$AW$73:$AW$483,"41 Min o Más")</f>
        <v>0</v>
      </c>
      <c r="D54" s="27">
        <f>COUNTIFS(Ambulatorio!$M$73:$M$483,"Servicios Complementarios",Ambulatorio!$AX$73:$AX$483,"41 Min o Más")</f>
        <v>0</v>
      </c>
      <c r="E54" s="27">
        <f>COUNTIFS(Ambulatorio!$M$73:$M$483,"Servicios Complementarios",Ambulatorio!$AY$73:$AY$483,"41 Min o Más")</f>
        <v>0</v>
      </c>
      <c r="F54" s="27">
        <f>COUNTIFS(Ambulatorio!$M$73:$M$483,"Servicios Complementarios",Ambulatorio!$AZ$73:$AZ$483,"41 Min o Más")</f>
        <v>0</v>
      </c>
      <c r="G54" s="27">
        <f>COUNTIFS(Ambulatorio!$M$73:$M$483,"Servicios Complementarios",Ambulatorio!$BA$73:$BA$483,"41 Min o Más")</f>
        <v>0</v>
      </c>
      <c r="H54" s="27">
        <f>COUNTIFS(Ambulatorio!$M$73:$M$483,"Servicios Complementarios",Ambulatorio!$BB$73:$BB$483,"41 Min o Más")</f>
        <v>0</v>
      </c>
      <c r="I54" s="27">
        <f>COUNTIFS(Ambulatorio!$M$73:$M$483,"Servicios Complementarios",Ambulatorio!$BC$73:$BC$483,"41 Min o Más")</f>
        <v>0</v>
      </c>
      <c r="J54" s="27">
        <f>COUNTIFS(Ambulatorio!$M$73:$M$483,"Servicios Complementarios",Ambulatorio!$BD$73:$BD$483,"41 Min o Más")</f>
        <v>0</v>
      </c>
      <c r="K54" s="27">
        <f>COUNTIFS(Ambulatorio!$M$73:$M$483,"Servicios Complementarios",Ambulatorio!$BE$73:$BE$483,"41 Min o Más")</f>
        <v>0</v>
      </c>
      <c r="L54" s="27">
        <f>COUNTIFS(Ambulatorio!$M$73:$M$483,"Servicios Complementarios",Ambulatorio!$BF$73:$BF$483,"41 Min o Más")</f>
        <v>0</v>
      </c>
      <c r="M54" s="27">
        <f>COUNTIFS(Ambulatorio!$M$73:$M$483,"Servicios Complementarios",Ambulatorio!$BG$73:$BG$483,"41 Min o Más")</f>
        <v>0</v>
      </c>
      <c r="N54" s="27">
        <f>COUNTIFS(Ambulatorio!$M$73:$M$483,"Servicios Complementarios",Ambulatorio!$BH$73:$BH$483,"41 Min o Más")</f>
        <v>0</v>
      </c>
      <c r="O54" s="27">
        <f>COUNTIFS(Ambulatorio!$M$73:$M$483,"Servicios Complementarios",Ambulatorio!$BI$73:$BI$483,"41 Min o Más")</f>
        <v>0</v>
      </c>
      <c r="P54" s="27">
        <f>COUNTIFS(Ambulatorio!$M$73:$M$483,"Servicios Complementarios",Ambulatorio!$BJ$73:$BJ$483,"41 Min o Más")</f>
        <v>0</v>
      </c>
      <c r="Q54" s="27">
        <f>COUNTIFS(Ambulatorio!$M$73:$M$483,"Servicios Complementarios",Ambulatorio!$BK$73:$BK$483,"41 Min o Más")</f>
        <v>0</v>
      </c>
      <c r="R54" s="27">
        <f>COUNTIFS(Ambulatorio!$M$73:$M$483,"Servicios Complementarios",Ambulatorio!$BL$73:$BL$483,"41 Min o Más")</f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77" t="s">
        <v>204</v>
      </c>
      <c r="B55" s="27">
        <f>COUNTIFS(Ambulatorio!$M$73:$M$483,"Servicios Complementarios",Ambulatorio!$AV$73:$AV$483,"N/A")</f>
        <v>0</v>
      </c>
      <c r="C55" s="27">
        <f>COUNTIFS(Ambulatorio!$M$73:$M$483,"Servicios Complementarios",Ambulatorio!$AW$73:$AW$483,"N/A")</f>
        <v>0</v>
      </c>
      <c r="D55" s="27">
        <f>COUNTIFS(Ambulatorio!$M$73:$M$483,"Servicios Complementarios",Ambulatorio!$AX$73:$AX$483,"N/A")</f>
        <v>0</v>
      </c>
      <c r="E55" s="27">
        <f>COUNTIFS(Ambulatorio!$M$73:$M$483,"Servicios Complementarios",Ambulatorio!$AY$73:$AY$483,"N/A")</f>
        <v>0</v>
      </c>
      <c r="F55" s="27">
        <f>COUNTIFS(Ambulatorio!$M$73:$M$483,"Servicios Complementarios",Ambulatorio!$AZ$73:$AZ$483,"N/A")</f>
        <v>0</v>
      </c>
      <c r="G55" s="27">
        <f>COUNTIFS(Ambulatorio!$M$73:$M$483,"Servicios Complementarios",Ambulatorio!$BA$73:$BA$483,"N/A")</f>
        <v>0</v>
      </c>
      <c r="H55" s="27">
        <f>COUNTIFS(Ambulatorio!$M$73:$M$483,"Servicios Complementarios",Ambulatorio!$BB$73:$BB$483,"N/A")</f>
        <v>0</v>
      </c>
      <c r="I55" s="27">
        <f>COUNTIFS(Ambulatorio!$M$73:$M$483,"Servicios Complementarios",Ambulatorio!$BC$73:$BC$483,"N/A")</f>
        <v>0</v>
      </c>
      <c r="J55" s="27">
        <f>COUNTIFS(Ambulatorio!$M$73:$M$483,"Servicios Complementarios",Ambulatorio!$BD$73:$BD$483,"N/A")</f>
        <v>0</v>
      </c>
      <c r="K55" s="27">
        <f>COUNTIFS(Ambulatorio!$M$73:$M$483,"Servicios Complementarios",Ambulatorio!$BE$73:$BE$483,"N/A")</f>
        <v>0</v>
      </c>
      <c r="L55" s="27">
        <f>COUNTIFS(Ambulatorio!$M$73:$M$483,"Servicios Complementarios",Ambulatorio!$BF$73:$BF$483,"N/A")</f>
        <v>0</v>
      </c>
      <c r="M55" s="27">
        <f>COUNTIFS(Ambulatorio!$M$73:$M$483,"Servicios Complementarios",Ambulatorio!$BG$73:$BG$483,"N/A")</f>
        <v>0</v>
      </c>
      <c r="N55" s="27">
        <f>COUNTIFS(Ambulatorio!$M$73:$M$483,"Servicios Complementarios",Ambulatorio!$BH$73:$BH$483,"N/A")</f>
        <v>0</v>
      </c>
      <c r="O55" s="27">
        <f>COUNTIFS(Ambulatorio!$M$73:$M$483,"Servicios Complementarios",Ambulatorio!$BI$73:$BI$483,"N/A")</f>
        <v>0</v>
      </c>
      <c r="P55" s="27">
        <f>COUNTIFS(Ambulatorio!$M$73:$M$483,"Servicios Complementarios",Ambulatorio!$BJ$73:$BJ$483,"N/A")</f>
        <v>0</v>
      </c>
      <c r="Q55" s="27">
        <f>COUNTIFS(Ambulatorio!$M$73:$M$483,"Servicios Complementarios",Ambulatorio!$BK$73:$BK$483,"N/A")</f>
        <v>0</v>
      </c>
      <c r="R55" s="27">
        <f>COUNTIFS(Ambulatorio!$M$73:$M$483,"Servicios Complementarios",Ambulatorio!$BL$73:$BL$483,"N/A")</f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25"/>
      <c r="B56" s="27">
        <f>SUM(B52:B55)</f>
        <v>0</v>
      </c>
      <c r="C56" s="27">
        <f t="shared" ref="C56:R56" si="6">SUM(C52:C55)</f>
        <v>0</v>
      </c>
      <c r="D56" s="27">
        <f t="shared" si="6"/>
        <v>0</v>
      </c>
      <c r="E56" s="27">
        <f t="shared" si="6"/>
        <v>0</v>
      </c>
      <c r="F56" s="27">
        <f t="shared" si="6"/>
        <v>0</v>
      </c>
      <c r="G56" s="27">
        <f t="shared" si="6"/>
        <v>0</v>
      </c>
      <c r="H56" s="27">
        <f t="shared" si="6"/>
        <v>0</v>
      </c>
      <c r="I56" s="27">
        <f t="shared" si="6"/>
        <v>0</v>
      </c>
      <c r="J56" s="27">
        <f t="shared" si="6"/>
        <v>0</v>
      </c>
      <c r="K56" s="27">
        <f t="shared" si="6"/>
        <v>0</v>
      </c>
      <c r="L56" s="27">
        <f t="shared" si="6"/>
        <v>0</v>
      </c>
      <c r="M56" s="27">
        <f t="shared" si="6"/>
        <v>0</v>
      </c>
      <c r="N56" s="27">
        <f t="shared" si="6"/>
        <v>0</v>
      </c>
      <c r="O56" s="27">
        <f t="shared" si="6"/>
        <v>0</v>
      </c>
      <c r="P56" s="27">
        <f t="shared" si="6"/>
        <v>0</v>
      </c>
      <c r="Q56" s="27">
        <f t="shared" si="6"/>
        <v>0</v>
      </c>
      <c r="R56" s="27">
        <f t="shared" si="6"/>
        <v>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35.4" customHeight="1">
      <c r="A59" s="25"/>
      <c r="B59" s="184" t="s">
        <v>137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</row>
    <row r="60" spans="1:33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76" t="s">
        <v>104</v>
      </c>
      <c r="K60" s="76" t="s">
        <v>193</v>
      </c>
      <c r="L60" s="76" t="s">
        <v>105</v>
      </c>
      <c r="M60" s="76" t="s">
        <v>194</v>
      </c>
      <c r="N60" s="76" t="s">
        <v>195</v>
      </c>
      <c r="O60" s="76" t="s">
        <v>196</v>
      </c>
      <c r="P60" s="76" t="s">
        <v>134</v>
      </c>
      <c r="Q60" s="76" t="s">
        <v>197</v>
      </c>
      <c r="R60" s="76" t="s">
        <v>198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5" t="s">
        <v>199</v>
      </c>
      <c r="B61" s="27">
        <f>COUNTIFS(Ambulatorio!$M$73:$M$483,"Urgencias",Ambulatorio!$AV$73:$AV$483,"0 - 20 Min.")</f>
        <v>97</v>
      </c>
      <c r="C61" s="27">
        <f>COUNTIFS(Ambulatorio!$M$73:$M$483,"Urgencias",Ambulatorio!$AW$73:$AW$483,"0 - 20 Min.")</f>
        <v>97</v>
      </c>
      <c r="D61" s="27">
        <f>COUNTIFS(Ambulatorio!$M$73:$M$483,"Urgencias",Ambulatorio!$AX$73:$AX$483,"0 - 20 Min.")</f>
        <v>96</v>
      </c>
      <c r="E61" s="27">
        <f>COUNTIFS(Ambulatorio!$M$73:$M$483,"Urgencias",Ambulatorio!$AY$73:$AY$483,"0 - 20 Min.")</f>
        <v>1</v>
      </c>
      <c r="F61" s="27">
        <f>COUNTIFS(Ambulatorio!$M$73:$M$483,"Urgencias",Ambulatorio!$AZ$73:$AZ$483,"0 - 20 Min.")</f>
        <v>0</v>
      </c>
      <c r="G61" s="27">
        <f>COUNTIFS(Ambulatorio!$M$73:$M$483,"Urgencias",Ambulatorio!$BA$73:$BA$483,"0 - 20 Min.")</f>
        <v>0</v>
      </c>
      <c r="H61" s="27">
        <f>COUNTIFS(Ambulatorio!$M$73:$M$483,"Urgencias",Ambulatorio!$BB$73:$BB$483,"0 - 20 Min.")</f>
        <v>0</v>
      </c>
      <c r="I61" s="27">
        <f>COUNTIFS(Ambulatorio!$M$73:$M$483,"Urgencias",Ambulatorio!$BC$73:$BC$483,"0 - 20 Min.")</f>
        <v>0</v>
      </c>
      <c r="J61" s="27">
        <f>COUNTIFS(Ambulatorio!$M$73:$M$483,"Urgencias",Ambulatorio!$BD$73:$BD$483,"0 - 20 Min.")</f>
        <v>0</v>
      </c>
      <c r="K61" s="27">
        <f>COUNTIFS(Ambulatorio!$M$73:$M$483,"Urgencias",Ambulatorio!$BE$73:$BE$483,"0 - 20 Min.")</f>
        <v>0</v>
      </c>
      <c r="L61" s="27">
        <f>COUNTIFS(Ambulatorio!$M$73:$M$483,"Urgencias",Ambulatorio!$BF$73:$BF$483,"0 - 20 Min.")</f>
        <v>0</v>
      </c>
      <c r="M61" s="27">
        <f>COUNTIFS(Ambulatorio!$M$73:$M$483,"Urgencias",Ambulatorio!$BG$73:$BG$483,"0 - 20 Min.")</f>
        <v>0</v>
      </c>
      <c r="N61" s="27">
        <f>COUNTIFS(Ambulatorio!$M$73:$M$483,"Urgencias",Ambulatorio!$BH$73:$BH$483,"0 - 20 Min.")</f>
        <v>0</v>
      </c>
      <c r="O61" s="27">
        <f>COUNTIFS(Ambulatorio!$M$73:$M$483,"Urgencias",Ambulatorio!$BI$73:$BI$483,"0 - 20 Min.")</f>
        <v>0</v>
      </c>
      <c r="P61" s="27">
        <f>COUNTIFS(Ambulatorio!$M$73:$M$483,"Urgencias",Ambulatorio!$BJ$73:$BJ$483,"0 - 20 Min.")</f>
        <v>0</v>
      </c>
      <c r="Q61" s="27">
        <f>COUNTIFS(Ambulatorio!$M$73:$M$483,"Urgencias",Ambulatorio!$BK$73:$BK$483,"0 - 20 Min.")</f>
        <v>0</v>
      </c>
      <c r="R61" s="27">
        <f>COUNTIFS(Ambulatorio!$M$73:$M$483,"Urgencias",Ambulatorio!$BL$73:$BL$483,"0 - 20 Min.")</f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ht="18" customHeight="1">
      <c r="A62" s="5" t="s">
        <v>200</v>
      </c>
      <c r="B62" s="27">
        <f>COUNTIFS(Ambulatorio!$M$73:$M$483,"Urgencias",Ambulatorio!$AV$73:$AV$483,"21 a 40 Min.")</f>
        <v>0</v>
      </c>
      <c r="C62" s="27">
        <f>COUNTIFS(Ambulatorio!$M$73:$M$483,"Urgencias",Ambulatorio!$AW$73:$AW$483,"21 a 40 Min.")</f>
        <v>0</v>
      </c>
      <c r="D62" s="27">
        <f>COUNTIFS(Ambulatorio!$M$73:$M$483,"Urgencias",Ambulatorio!$AX$73:$AX$483,"21 a 40 Min.")</f>
        <v>0</v>
      </c>
      <c r="E62" s="27">
        <f>COUNTIFS(Ambulatorio!$M$73:$M$483,"Urgencias",Ambulatorio!$AY$73:$AY$483,"21 a 40 Min.")</f>
        <v>96</v>
      </c>
      <c r="F62" s="27">
        <f>COUNTIFS(Ambulatorio!$M$73:$M$483,"Urgencias",Ambulatorio!$AZ$73:$AZ$483,"21 a 40 Min.")</f>
        <v>96</v>
      </c>
      <c r="G62" s="27">
        <f>COUNTIFS(Ambulatorio!$M$73:$M$483,"Urgencias",Ambulatorio!$BA$73:$BA$483,"21 a 40 Min.")</f>
        <v>96</v>
      </c>
      <c r="H62" s="27">
        <f>COUNTIFS(Ambulatorio!$M$73:$M$483,"Urgencias",Ambulatorio!$BB$73:$BB$483,"21 a 40 Min.")</f>
        <v>96</v>
      </c>
      <c r="I62" s="27">
        <f>COUNTIFS(Ambulatorio!$M$73:$M$483,"Urgencias",Ambulatorio!$BC$73:$BC$483,"21 a 40 Min.")</f>
        <v>96</v>
      </c>
      <c r="J62" s="27">
        <f>COUNTIFS(Ambulatorio!$M$73:$M$483,"Urgencias",Ambulatorio!$BD$73:$BD$483,"21 a 40 Min.")</f>
        <v>96</v>
      </c>
      <c r="K62" s="27">
        <f>COUNTIFS(Ambulatorio!$M$73:$M$483,"Urgencias",Ambulatorio!$BE$73:$BE$483,"21 a 40 Min.")</f>
        <v>96</v>
      </c>
      <c r="L62" s="27">
        <f>COUNTIFS(Ambulatorio!$M$73:$M$483,"Urgencias",Ambulatorio!$BF$73:$BF$483,"21 a 40 Min.")</f>
        <v>96</v>
      </c>
      <c r="M62" s="27">
        <f>COUNTIFS(Ambulatorio!$M$73:$M$483,"Urgencias",Ambulatorio!$BG$73:$BG$483,"21 a 40 Min.")</f>
        <v>96</v>
      </c>
      <c r="N62" s="27">
        <f>COUNTIFS(Ambulatorio!$M$73:$M$483,"Urgencias",Ambulatorio!$BH$73:$BH$483,"21 a 40 Min.")</f>
        <v>96</v>
      </c>
      <c r="O62" s="27">
        <f>COUNTIFS(Ambulatorio!$M$73:$M$483,"Urgencias",Ambulatorio!$BI$73:$BI$483,"21 a 40 Min.")</f>
        <v>96</v>
      </c>
      <c r="P62" s="27">
        <f>COUNTIFS(Ambulatorio!$M$73:$M$483,"Urgencias",Ambulatorio!$BJ$73:$BJ$483,"21 a 40 Min.")</f>
        <v>96</v>
      </c>
      <c r="Q62" s="27">
        <f>COUNTIFS(Ambulatorio!$M$73:$M$483,"Urgencias",Ambulatorio!$BK$73:$BK$483,"21 a 40 Min.")</f>
        <v>96</v>
      </c>
      <c r="R62" s="27">
        <f>COUNTIFS(Ambulatorio!$M$73:$M$483,"Urgencias",Ambulatorio!$BL$73:$BL$483,"21 a 40 Min.")</f>
        <v>96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77" t="s">
        <v>201</v>
      </c>
      <c r="B63" s="27">
        <f>COUNTIFS(Ambulatorio!$M$73:$M$483,"Urgencias",Ambulatorio!$AV$73:$AV$483,"41 Min o Más")</f>
        <v>1</v>
      </c>
      <c r="C63" s="27">
        <f>COUNTIFS(Ambulatorio!$M$73:$M$483,"Urgencias",Ambulatorio!$AW$73:$AW$483,"41 Min o Más")</f>
        <v>0</v>
      </c>
      <c r="D63" s="27">
        <f>COUNTIFS(Ambulatorio!$M$73:$M$483,"Urgencias",Ambulatorio!$AX$73:$AX$483,"41 Min o Más")</f>
        <v>0</v>
      </c>
      <c r="E63" s="27">
        <f>COUNTIFS(Ambulatorio!$M$73:$M$483,"Urgencias",Ambulatorio!$AY$73:$AY$483,"41 Min o Más")</f>
        <v>1</v>
      </c>
      <c r="F63" s="27">
        <f>COUNTIFS(Ambulatorio!$M$73:$M$483,"Urgencias",Ambulatorio!$AZ$73:$AZ$483,"41 Min o Más")</f>
        <v>0</v>
      </c>
      <c r="G63" s="27">
        <f>COUNTIFS(Ambulatorio!$M$73:$M$483,"Urgencias",Ambulatorio!$BA$73:$BA$483,"41 Min o Más")</f>
        <v>1</v>
      </c>
      <c r="H63" s="27">
        <f>COUNTIFS(Ambulatorio!$M$73:$M$483,"Urgencias",Ambulatorio!$BB$73:$BB$483,"41 Min o Más")</f>
        <v>1</v>
      </c>
      <c r="I63" s="27">
        <f>COUNTIFS(Ambulatorio!$M$73:$M$483,"Urgencias",Ambulatorio!$BC$73:$BC$483,"41 Min o Más")</f>
        <v>0</v>
      </c>
      <c r="J63" s="27">
        <f>COUNTIFS(Ambulatorio!$M$73:$M$483,"Urgencias",Ambulatorio!$BD$73:$BD$483,"41 Min o Más")</f>
        <v>1</v>
      </c>
      <c r="K63" s="27">
        <f>COUNTIFS(Ambulatorio!$M$73:$M$483,"Urgencias",Ambulatorio!$BE$73:$BE$483,"41 Min o Más")</f>
        <v>0</v>
      </c>
      <c r="L63" s="27">
        <f>COUNTIFS(Ambulatorio!$M$73:$M$483,"Urgencias",Ambulatorio!$BF$73:$BF$483,"41 Min o Más")</f>
        <v>1</v>
      </c>
      <c r="M63" s="27">
        <f>COUNTIFS(Ambulatorio!$M$73:$M$483,"Urgencias",Ambulatorio!$BG$73:$BG$483,"41 Min o Más")</f>
        <v>0</v>
      </c>
      <c r="N63" s="27">
        <f>COUNTIFS(Ambulatorio!$M$73:$M$483,"Urgencias",Ambulatorio!$BH$73:$BH$483,"41 Min o Más")</f>
        <v>1</v>
      </c>
      <c r="O63" s="27">
        <f>COUNTIFS(Ambulatorio!$M$73:$M$483,"Urgencias",Ambulatorio!$BI$73:$BI$483,"41 Min o Más")</f>
        <v>1</v>
      </c>
      <c r="P63" s="27">
        <f>COUNTIFS(Ambulatorio!$M$73:$M$483,"Urgencias",Ambulatorio!$BJ$73:$BJ$483,"41 Min o Más")</f>
        <v>0</v>
      </c>
      <c r="Q63" s="27">
        <f>COUNTIFS(Ambulatorio!$M$73:$M$483,"Urgencias",Ambulatorio!$BK$73:$BK$483,"41 Min o Más")</f>
        <v>0</v>
      </c>
      <c r="R63" s="27">
        <f>COUNTIFS(Ambulatorio!$M$73:$M$483,"Urgencias",Ambulatorio!$BL$73:$BL$483,"41 Min o Más")</f>
        <v>0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77" t="s">
        <v>204</v>
      </c>
      <c r="B64" s="27">
        <f>COUNTIFS(Ambulatorio!$M$73:$M$483,"Urgencias",Ambulatorio!$AV$73:$AV$483,"N/A")</f>
        <v>0</v>
      </c>
      <c r="C64" s="27">
        <f>COUNTIFS(Ambulatorio!$M$73:$M$483,"Urgencias",Ambulatorio!$AW$73:$AW$483,"N/A")</f>
        <v>1</v>
      </c>
      <c r="D64" s="27">
        <f>COUNTIFS(Ambulatorio!$M$73:$M$483,"Urgencias",Ambulatorio!$AX$73:$AX$483,"N/A")</f>
        <v>2</v>
      </c>
      <c r="E64" s="27">
        <f>COUNTIFS(Ambulatorio!$M$73:$M$483,"Urgencias",Ambulatorio!$AY$73:$AY$483,"N/A")</f>
        <v>0</v>
      </c>
      <c r="F64" s="27">
        <f>COUNTIFS(Ambulatorio!$M$73:$M$483,"Urgencias",Ambulatorio!$AZ$73:$AZ$483,"N/A")</f>
        <v>2</v>
      </c>
      <c r="G64" s="27">
        <f>COUNTIFS(Ambulatorio!$M$73:$M$483,"Urgencias",Ambulatorio!$BA$73:$BA$483,"N/A")</f>
        <v>1</v>
      </c>
      <c r="H64" s="27">
        <f>COUNTIFS(Ambulatorio!$M$73:$M$483,"Urgencias",Ambulatorio!$BB$73:$BB$483,"N/A")</f>
        <v>1</v>
      </c>
      <c r="I64" s="27">
        <f>COUNTIFS(Ambulatorio!$M$73:$M$483,"Urgencias",Ambulatorio!$BC$73:$BC$483,"N/A")</f>
        <v>2</v>
      </c>
      <c r="J64" s="27">
        <f>COUNTIFS(Ambulatorio!$M$73:$M$483,"Urgencias",Ambulatorio!$BD$73:$BD$483,"N/A")</f>
        <v>1</v>
      </c>
      <c r="K64" s="27">
        <f>COUNTIFS(Ambulatorio!$M$73:$M$483,"Urgencias",Ambulatorio!$BE$73:$BE$483,"N/A")</f>
        <v>2</v>
      </c>
      <c r="L64" s="27">
        <f>COUNTIFS(Ambulatorio!$M$73:$M$483,"Urgencias",Ambulatorio!$BF$73:$BF$483,"N/A")</f>
        <v>1</v>
      </c>
      <c r="M64" s="27">
        <f>COUNTIFS(Ambulatorio!$M$73:$M$483,"Urgencias",Ambulatorio!$BG$73:$BG$483,"N/A")</f>
        <v>2</v>
      </c>
      <c r="N64" s="27">
        <f>COUNTIFS(Ambulatorio!$M$73:$M$483,"Urgencias",Ambulatorio!$BH$73:$BH$483,"N/A")</f>
        <v>1</v>
      </c>
      <c r="O64" s="27">
        <f>COUNTIFS(Ambulatorio!$M$73:$M$483,"Urgencias",Ambulatorio!$BI$73:$BI$483,"N/A")</f>
        <v>1</v>
      </c>
      <c r="P64" s="27">
        <f>COUNTIFS(Ambulatorio!$M$73:$M$483,"Urgencias",Ambulatorio!$BJ$73:$BJ$483,"N/A")</f>
        <v>2</v>
      </c>
      <c r="Q64" s="27">
        <f>COUNTIFS(Ambulatorio!$M$73:$M$483,"Urgencias",Ambulatorio!$BK$73:$BK$483,"N/A")</f>
        <v>2</v>
      </c>
      <c r="R64" s="27">
        <f>COUNTIFS(Ambulatorio!$M$73:$M$483,"Urgencias",Ambulatorio!$BL$73:$BL$483,"N/A")</f>
        <v>2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25"/>
      <c r="B65" s="25">
        <f>SUM(B61:B64)</f>
        <v>98</v>
      </c>
      <c r="C65" s="25">
        <f t="shared" ref="C65:R65" si="7">SUM(C61:C64)</f>
        <v>98</v>
      </c>
      <c r="D65" s="25">
        <f t="shared" si="7"/>
        <v>98</v>
      </c>
      <c r="E65" s="25">
        <f t="shared" si="7"/>
        <v>98</v>
      </c>
      <c r="F65" s="25">
        <f t="shared" si="7"/>
        <v>98</v>
      </c>
      <c r="G65" s="25">
        <f t="shared" si="7"/>
        <v>98</v>
      </c>
      <c r="H65" s="25">
        <f t="shared" si="7"/>
        <v>98</v>
      </c>
      <c r="I65" s="25">
        <f t="shared" si="7"/>
        <v>98</v>
      </c>
      <c r="J65" s="25">
        <f t="shared" si="7"/>
        <v>98</v>
      </c>
      <c r="K65" s="25">
        <f t="shared" si="7"/>
        <v>98</v>
      </c>
      <c r="L65" s="25">
        <f t="shared" si="7"/>
        <v>98</v>
      </c>
      <c r="M65" s="25">
        <f t="shared" si="7"/>
        <v>98</v>
      </c>
      <c r="N65" s="25">
        <f t="shared" si="7"/>
        <v>98</v>
      </c>
      <c r="O65" s="25">
        <f t="shared" si="7"/>
        <v>98</v>
      </c>
      <c r="P65" s="25">
        <f t="shared" si="7"/>
        <v>98</v>
      </c>
      <c r="Q65" s="25">
        <f t="shared" si="7"/>
        <v>98</v>
      </c>
      <c r="R65" s="25">
        <f t="shared" si="7"/>
        <v>98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5.4" customHeight="1">
      <c r="A68" s="25"/>
      <c r="B68" s="220" t="s">
        <v>206</v>
      </c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</row>
    <row r="69" spans="1:33" ht="39.75" customHeight="1">
      <c r="A69" s="25"/>
      <c r="B69" s="78" t="s">
        <v>185</v>
      </c>
      <c r="C69" s="78" t="s">
        <v>186</v>
      </c>
      <c r="D69" s="78" t="s">
        <v>187</v>
      </c>
      <c r="E69" s="78" t="s">
        <v>188</v>
      </c>
      <c r="F69" s="78" t="s">
        <v>189</v>
      </c>
      <c r="G69" s="78" t="s">
        <v>190</v>
      </c>
      <c r="H69" s="78" t="s">
        <v>191</v>
      </c>
      <c r="I69" s="78" t="s">
        <v>192</v>
      </c>
      <c r="J69" s="78" t="s">
        <v>104</v>
      </c>
      <c r="K69" s="78" t="s">
        <v>193</v>
      </c>
      <c r="L69" s="78" t="s">
        <v>105</v>
      </c>
      <c r="M69" s="78" t="s">
        <v>194</v>
      </c>
      <c r="N69" s="78" t="s">
        <v>195</v>
      </c>
      <c r="O69" s="78" t="s">
        <v>196</v>
      </c>
      <c r="P69" s="79" t="s">
        <v>134</v>
      </c>
      <c r="Q69" s="76" t="s">
        <v>197</v>
      </c>
      <c r="R69" s="76" t="s">
        <v>198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5" t="s">
        <v>199</v>
      </c>
      <c r="B70" s="27">
        <f>COUNTIFS(Ambulatorio!$M$73:$M$483,"Rayos X - TAC",Ambulatorio!AV$73:$AV$483,"0 - 20 Min.")</f>
        <v>0</v>
      </c>
      <c r="C70" s="27">
        <f>COUNTIFS(Ambulatorio!$M$73:$M$483,"Rayos X - TAC",Ambulatorio!$O$73:O$483,"8")</f>
        <v>0</v>
      </c>
      <c r="D70" s="27">
        <f>COUNTIFS(Ambulatorio!$M$73:$M$483,"Rayos X - TAC",Ambulatorio!$P$73:P$483,"8")</f>
        <v>0</v>
      </c>
      <c r="E70" s="27">
        <f>COUNTIFS(Ambulatorio!$M$73:$M$483,"Rayos X - TAC",Ambulatorio!$Q$73:Q$483,"8")</f>
        <v>0</v>
      </c>
      <c r="F70" s="27">
        <f>COUNTIFS(Ambulatorio!$M$73:$M$483,"Rayos X - TAC",Ambulatorio!$R$73:R$483,"8")</f>
        <v>0</v>
      </c>
      <c r="G70" s="27">
        <f>COUNTIFS(Ambulatorio!$M$73:$M$483,"Rayos X - TAC",Ambulatorio!$S$73:S$483,"8")</f>
        <v>0</v>
      </c>
      <c r="H70" s="27">
        <f>COUNTIFS(Ambulatorio!$M$73:$M$483,"Rayos X - TAC",Ambulatorio!$T$73:T$483,"8")</f>
        <v>0</v>
      </c>
      <c r="I70" s="27">
        <f>COUNTIFS(Ambulatorio!$M$73:$M$483,"Rayos X - TAC",Ambulatorio!$U$73:U$483,"8")</f>
        <v>0</v>
      </c>
      <c r="J70" s="27">
        <f>COUNTIFS(Ambulatorio!$M$73:$M$483,"Rayos X - TAC",Ambulatorio!$V$73:V$483,"8")</f>
        <v>0</v>
      </c>
      <c r="K70" s="27">
        <f>COUNTIFS(Ambulatorio!$M$73:$M$483,"Rayos X - TAC",Ambulatorio!$W$73:W$483,"8")</f>
        <v>0</v>
      </c>
      <c r="L70" s="27">
        <f>COUNTIFS(Ambulatorio!$M$73:$M$483,"Rayos X - TAC",Ambulatorio!$X$73:X$483,"8")</f>
        <v>0</v>
      </c>
      <c r="M70" s="27">
        <f>COUNTIFS(Ambulatorio!$M$73:$M$483,"Rayos X - TAC",Ambulatorio!$Y$73:Y$483,"8")</f>
        <v>0</v>
      </c>
      <c r="N70" s="27">
        <f>COUNTIFS(Ambulatorio!$M$73:$M$483,"Rayos X - TAC",Ambulatorio!$Z$73:Z$483,"8")</f>
        <v>0</v>
      </c>
      <c r="O70" s="27">
        <f>COUNTIFS(Ambulatorio!$M$73:$M$483,"Rayos X - TAC",Ambulatorio!$AA$73:AA$483,"8")</f>
        <v>0</v>
      </c>
      <c r="P70" s="80">
        <f>COUNTIFS(Ambulatorio!$M$73:$M$483,"Rayos X - TAC",Ambulatorio!$AB$73:AB$483,"8")</f>
        <v>0</v>
      </c>
      <c r="Q70" s="2"/>
      <c r="R70" s="37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8" customHeight="1">
      <c r="A71" s="5" t="s">
        <v>200</v>
      </c>
      <c r="B71" s="27">
        <f>COUNTIFS(Ambulatorio!$M$73:$M$483,"Rayos X - TAC",Ambulatorio!N$73:$N$483,"7")</f>
        <v>0</v>
      </c>
      <c r="C71" s="27">
        <f>COUNTIFS(Ambulatorio!$M$73:$M$483,"Rayos X - TAC",Ambulatorio!$O$73:O$483,"7")</f>
        <v>0</v>
      </c>
      <c r="D71" s="27">
        <f>COUNTIFS(Ambulatorio!$M$73:$M$483,"Rayos X - TAC",Ambulatorio!$P$73:P$483,"7")</f>
        <v>0</v>
      </c>
      <c r="E71" s="27">
        <f>COUNTIFS(Ambulatorio!$M$73:$M$483,"Rayos X - TAC",Ambulatorio!$Q$73:Q$483,"7")</f>
        <v>0</v>
      </c>
      <c r="F71" s="27">
        <f>COUNTIFS(Ambulatorio!$M$73:$M$483,"Rayos X - TAC",Ambulatorio!$R$73:R$483,"7")</f>
        <v>0</v>
      </c>
      <c r="G71" s="27">
        <f>COUNTIFS(Ambulatorio!$M$73:$M$483,"Rayos X - TAC",Ambulatorio!$S$73:S$483,"7")</f>
        <v>0</v>
      </c>
      <c r="H71" s="27">
        <f>COUNTIFS(Ambulatorio!$M$73:$M$483,"Rayos X - TAC",Ambulatorio!$T$73:T$483,"7")</f>
        <v>0</v>
      </c>
      <c r="I71" s="27">
        <f>COUNTIFS(Ambulatorio!$M$73:$M$483,"Rayos X - TAC",Ambulatorio!$U$73:U$483,"7")</f>
        <v>0</v>
      </c>
      <c r="J71" s="27">
        <f>COUNTIFS(Ambulatorio!$M$73:$M$483,"Rayos X - TAC",Ambulatorio!$V$73:V$483,"7")</f>
        <v>0</v>
      </c>
      <c r="K71" s="27">
        <f>COUNTIFS(Ambulatorio!$M$73:$M$483,"Rayos X - TAC",Ambulatorio!$W$73:W$483,"7")</f>
        <v>0</v>
      </c>
      <c r="L71" s="27">
        <f>COUNTIFS(Ambulatorio!$M$73:$M$483,"Rayos X - TAC",Ambulatorio!$X$73:X$483,"7")</f>
        <v>0</v>
      </c>
      <c r="M71" s="27">
        <f>COUNTIFS(Ambulatorio!$M$73:$M$483,"Rayos X - TAC",Ambulatorio!$Y$73:Y$483,"7")</f>
        <v>0</v>
      </c>
      <c r="N71" s="27">
        <f>COUNTIFS(Ambulatorio!$M$73:$M$483,"Rayos X - TAC",Ambulatorio!$Z$73:Z$483,"7")</f>
        <v>0</v>
      </c>
      <c r="O71" s="27">
        <f>COUNTIFS(Ambulatorio!$M$73:$M$483,"Rayos X - TAC",Ambulatorio!$AA$73:AA$483,"7")</f>
        <v>0</v>
      </c>
      <c r="P71" s="80">
        <f>COUNTIFS(Ambulatorio!$M$73:$M$483,"Rayos X - TAC",Ambulatorio!$AB$73:AB$483,"7")</f>
        <v>0</v>
      </c>
      <c r="Q71" s="2"/>
      <c r="R71" s="37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77" t="s">
        <v>201</v>
      </c>
      <c r="B72" s="27">
        <f>COUNTIFS(Ambulatorio!$M$73:$M$483,"Rayos X - TAC",Ambulatorio!N$73:$N$483,"6")</f>
        <v>0</v>
      </c>
      <c r="C72" s="27">
        <f>COUNTIFS(Ambulatorio!$M$73:$M$483,"Rayos X - TAC",Ambulatorio!$O$73:O$483,"6")</f>
        <v>0</v>
      </c>
      <c r="D72" s="27">
        <f>COUNTIFS(Ambulatorio!$M$73:$M$483,"Rayos X - TAC",Ambulatorio!$P$73:P$483,"6")</f>
        <v>0</v>
      </c>
      <c r="E72" s="27">
        <f>COUNTIFS(Ambulatorio!$M$73:$M$483,"Rayos X - TAC",Ambulatorio!$Q$73:Q$483,"6")</f>
        <v>0</v>
      </c>
      <c r="F72" s="27">
        <f>COUNTIFS(Ambulatorio!$M$73:$M$483,"Rayos X - TAC",Ambulatorio!$R$73:R$483,"6")</f>
        <v>0</v>
      </c>
      <c r="G72" s="27">
        <f>COUNTIFS(Ambulatorio!$M$73:$M$483,"Rayos X - TAC",Ambulatorio!$S$73:S$483,"6")</f>
        <v>0</v>
      </c>
      <c r="H72" s="27">
        <f>COUNTIFS(Ambulatorio!$M$73:$M$483,"Rayos X - TAC",Ambulatorio!$T$73:T$483,"6")</f>
        <v>0</v>
      </c>
      <c r="I72" s="27">
        <f>COUNTIFS(Ambulatorio!$M$73:$M$483,"Rayos X - TAC",Ambulatorio!$U$73:U$483,"6")</f>
        <v>0</v>
      </c>
      <c r="J72" s="27">
        <f>COUNTIFS(Ambulatorio!$M$73:$M$483,"Rayos X - TAC",Ambulatorio!$V$73:V$483,"6")</f>
        <v>0</v>
      </c>
      <c r="K72" s="27">
        <f>COUNTIFS(Ambulatorio!$M$73:$M$483,"Rayos X - TAC",Ambulatorio!$W$73:W$483,"6")</f>
        <v>0</v>
      </c>
      <c r="L72" s="27">
        <f>COUNTIFS(Ambulatorio!$M$73:$M$483,"Rayos X - TAC",Ambulatorio!$X$73:X$483,"6")</f>
        <v>0</v>
      </c>
      <c r="M72" s="27">
        <f>COUNTIFS(Ambulatorio!$M$73:$M$483,"Rayos X - TAC",Ambulatorio!$Y$73:Y$483,"6")</f>
        <v>0</v>
      </c>
      <c r="N72" s="27">
        <f>COUNTIFS(Ambulatorio!$M$73:$M$483,"Rayos X - TAC",Ambulatorio!$Z$73:Z$483,"6")</f>
        <v>0</v>
      </c>
      <c r="O72" s="27">
        <f>COUNTIFS(Ambulatorio!$M$73:$M$483,"Rayos X - TAC",Ambulatorio!$AA$73:AA$483,"6")</f>
        <v>0</v>
      </c>
      <c r="P72" s="80">
        <f>COUNTIFS(Ambulatorio!$M$73:$M$483,"Rayos X - TAC",Ambulatorio!$AB$73:AB$483,"6")</f>
        <v>0</v>
      </c>
      <c r="Q72" s="2"/>
      <c r="R72" s="81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77" t="s">
        <v>204</v>
      </c>
      <c r="B73" s="27">
        <f>COUNTIFS(Ambulatorio!$M$73:$M$483,"Rayos X - TAC",Ambulatorio!N$73:$N$483,"5")</f>
        <v>0</v>
      </c>
      <c r="C73" s="27">
        <f>COUNTIFS(Ambulatorio!$M$73:$M$483,"Rayos X - TAC",Ambulatorio!$O$73:O$483,"5")</f>
        <v>0</v>
      </c>
      <c r="D73" s="27">
        <f>COUNTIFS(Ambulatorio!$M$73:$M$483,"Rayos X - TAC",Ambulatorio!$P$73:P$483,"5")</f>
        <v>0</v>
      </c>
      <c r="E73" s="27">
        <f>COUNTIFS(Ambulatorio!$M$73:$M$483,"Rayos X - TAC",Ambulatorio!$Q$73:Q$483,"5")</f>
        <v>0</v>
      </c>
      <c r="F73" s="27">
        <f>COUNTIFS(Ambulatorio!$M$73:$M$483,"Rayos X - TAC",Ambulatorio!$R$73:R$483,"5")</f>
        <v>0</v>
      </c>
      <c r="G73" s="27">
        <f>COUNTIFS(Ambulatorio!$M$73:$M$483,"Rayos X - TAC",Ambulatorio!$S$73:S$483,"5")</f>
        <v>0</v>
      </c>
      <c r="H73" s="27">
        <f>COUNTIFS(Ambulatorio!$M$73:$M$483,"Rayos X - TAC",Ambulatorio!$T$73:T$483,"5")</f>
        <v>0</v>
      </c>
      <c r="I73" s="27">
        <f>COUNTIFS(Ambulatorio!$M$73:$M$483,"Rayos X - TAC",Ambulatorio!$U$73:U$483,"5")</f>
        <v>0</v>
      </c>
      <c r="J73" s="27">
        <f>COUNTIFS(Ambulatorio!$M$73:$M$483,"Rayos X - TAC",Ambulatorio!$V$73:V$483,"5")</f>
        <v>0</v>
      </c>
      <c r="K73" s="27">
        <f>COUNTIFS(Ambulatorio!$M$73:$M$483,"Rayos X - TAC",Ambulatorio!$W$73:W$483,"5")</f>
        <v>0</v>
      </c>
      <c r="L73" s="27">
        <f>COUNTIFS(Ambulatorio!$M$73:$M$483,"Rayos X - TAC",Ambulatorio!$X$73:X$483,"5")</f>
        <v>0</v>
      </c>
      <c r="M73" s="27">
        <f>COUNTIFS(Ambulatorio!$M$73:$M$483,"Rayos X - TAC",Ambulatorio!$Y$73:Y$483,"5")</f>
        <v>0</v>
      </c>
      <c r="N73" s="27">
        <f>COUNTIFS(Ambulatorio!$M$73:$M$483,"Rayos X - TAC",Ambulatorio!$Z$73:Z$483,"5")</f>
        <v>0</v>
      </c>
      <c r="O73" s="27">
        <f>COUNTIFS(Ambulatorio!$M$73:$M$483,"Rayos X - TAC",Ambulatorio!$AA$73:AA$483,"5")</f>
        <v>0</v>
      </c>
      <c r="P73" s="80">
        <f>COUNTIFS(Ambulatorio!$M$73:$M$483,"Rayos X - TAC",Ambulatorio!$AB$73:AB$483,"5")</f>
        <v>0</v>
      </c>
      <c r="Q73" s="2"/>
      <c r="R73" s="81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25"/>
      <c r="B74" s="25">
        <f>SUM(B70:B73)</f>
        <v>0</v>
      </c>
      <c r="C74" s="25">
        <f t="shared" ref="C74:O74" si="8">SUM(C71:C73)</f>
        <v>0</v>
      </c>
      <c r="D74" s="25">
        <f t="shared" si="8"/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>SUM(P70:P73)</f>
        <v>0</v>
      </c>
      <c r="Q74" s="2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</sheetData>
  <mergeCells count="16">
    <mergeCell ref="B59:R59"/>
    <mergeCell ref="S59:AG59"/>
    <mergeCell ref="B68:R68"/>
    <mergeCell ref="S68:AG68"/>
    <mergeCell ref="B32:R32"/>
    <mergeCell ref="S32:AG32"/>
    <mergeCell ref="B41:R41"/>
    <mergeCell ref="S41:AG41"/>
    <mergeCell ref="B50:R50"/>
    <mergeCell ref="S50:AG50"/>
    <mergeCell ref="B4:R4"/>
    <mergeCell ref="U4:AK4"/>
    <mergeCell ref="B13:R13"/>
    <mergeCell ref="S13:AG13"/>
    <mergeCell ref="B23:R23"/>
    <mergeCell ref="S23:AG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4506668294322"/>
  </sheetPr>
  <dimension ref="A1:CK217"/>
  <sheetViews>
    <sheetView workbookViewId="0">
      <selection activeCell="A16" sqref="A16"/>
    </sheetView>
  </sheetViews>
  <sheetFormatPr baseColWidth="10" defaultColWidth="11" defaultRowHeight="14.4"/>
  <cols>
    <col min="1" max="1" width="21.6640625" customWidth="1"/>
    <col min="2" max="2" width="11.33203125" style="47"/>
    <col min="5" max="5" width="21" customWidth="1"/>
    <col min="7" max="7" width="16.33203125" customWidth="1"/>
    <col min="9" max="9" width="19.33203125" customWidth="1"/>
    <col min="11" max="11" width="15.6640625" customWidth="1"/>
    <col min="12" max="12" width="23.33203125" customWidth="1"/>
    <col min="13" max="13" width="32.33203125" customWidth="1"/>
    <col min="14" max="14" width="13.109375" style="25" customWidth="1"/>
    <col min="15" max="15" width="11.33203125" style="25" customWidth="1"/>
    <col min="16" max="16" width="15" style="25" customWidth="1"/>
    <col min="17" max="17" width="12.88671875" style="25" customWidth="1"/>
    <col min="18" max="18" width="9.88671875" style="25" customWidth="1"/>
    <col min="19" max="19" width="12.33203125" style="25" customWidth="1"/>
    <col min="20" max="20" width="14.33203125" style="25" customWidth="1"/>
    <col min="21" max="23" width="11" style="25" customWidth="1"/>
    <col min="24" max="24" width="15.33203125" style="25" customWidth="1"/>
    <col min="25" max="25" width="12.33203125" style="25" customWidth="1"/>
    <col min="26" max="27" width="11" style="25" customWidth="1"/>
    <col min="28" max="28" width="15.33203125" style="25" customWidth="1"/>
    <col min="29" max="30" width="11" style="25" customWidth="1"/>
    <col min="31" max="31" width="13.33203125" style="25" customWidth="1"/>
    <col min="32" max="32" width="14" style="25" customWidth="1"/>
    <col min="33" max="33" width="11" style="25" customWidth="1"/>
    <col min="34" max="34" width="13.88671875" style="25" customWidth="1"/>
    <col min="35" max="37" width="11" style="25" customWidth="1"/>
    <col min="38" max="38" width="16.6640625" customWidth="1"/>
    <col min="39" max="39" width="13.33203125" customWidth="1"/>
    <col min="40" max="45" width="11" customWidth="1"/>
    <col min="46" max="46" width="29.6640625" customWidth="1"/>
    <col min="47" max="47" width="20.109375" customWidth="1"/>
    <col min="48" max="48" width="11.33203125" style="25"/>
    <col min="50" max="50" width="14.6640625" customWidth="1"/>
    <col min="52" max="52" width="17.33203125" style="25" customWidth="1"/>
    <col min="53" max="53" width="14.33203125" style="47" customWidth="1"/>
    <col min="56" max="56" width="11.33203125" style="25"/>
    <col min="57" max="57" width="13.33203125" style="47" customWidth="1"/>
    <col min="58" max="58" width="17" customWidth="1"/>
    <col min="59" max="59" width="18.109375" customWidth="1"/>
  </cols>
  <sheetData>
    <row r="1" spans="1:89" ht="23.25" customHeight="1" thickBot="1">
      <c r="A1" s="128"/>
      <c r="B1" s="128" t="s">
        <v>220</v>
      </c>
      <c r="C1" s="128"/>
      <c r="D1" s="128"/>
      <c r="E1" s="128"/>
      <c r="F1" s="128"/>
      <c r="G1" s="128"/>
      <c r="H1" s="128"/>
      <c r="I1" s="150" t="s">
        <v>221</v>
      </c>
      <c r="J1" s="150"/>
      <c r="K1" s="150"/>
      <c r="L1" s="151"/>
      <c r="N1" s="152" t="s">
        <v>222</v>
      </c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4"/>
      <c r="Z1" s="155" t="s">
        <v>160</v>
      </c>
      <c r="AA1" s="156"/>
      <c r="AB1" s="156"/>
      <c r="AC1" s="156"/>
      <c r="AD1" s="156"/>
      <c r="AE1" s="156"/>
      <c r="AF1" s="157" t="s">
        <v>224</v>
      </c>
      <c r="AG1" s="157"/>
      <c r="AH1" s="157"/>
      <c r="AI1" s="157"/>
      <c r="AJ1" s="157"/>
      <c r="AK1" s="157"/>
      <c r="AL1" s="143" t="s">
        <v>253</v>
      </c>
      <c r="AM1" s="143"/>
      <c r="AN1" s="143"/>
      <c r="AO1" s="143"/>
      <c r="AP1" s="143"/>
      <c r="AQ1" s="143"/>
      <c r="AR1" s="143"/>
      <c r="AS1" s="143"/>
      <c r="AT1" s="144" t="s">
        <v>14</v>
      </c>
      <c r="AV1" s="146" t="s">
        <v>254</v>
      </c>
      <c r="AX1" s="148" t="s">
        <v>255</v>
      </c>
    </row>
    <row r="2" spans="1:89" ht="91.5" customHeight="1" thickBot="1">
      <c r="A2" s="48" t="s">
        <v>235</v>
      </c>
      <c r="B2" s="48" t="s">
        <v>28</v>
      </c>
      <c r="C2" s="48" t="s">
        <v>44</v>
      </c>
      <c r="D2" s="48" t="s">
        <v>47</v>
      </c>
      <c r="E2" s="48" t="s">
        <v>52</v>
      </c>
      <c r="F2" s="48" t="s">
        <v>237</v>
      </c>
      <c r="G2" s="48" t="s">
        <v>72</v>
      </c>
      <c r="H2" s="48" t="s">
        <v>256</v>
      </c>
      <c r="I2" s="51" t="s">
        <v>239</v>
      </c>
      <c r="J2" s="52" t="s">
        <v>240</v>
      </c>
      <c r="K2" s="51" t="s">
        <v>241</v>
      </c>
      <c r="L2" s="52" t="s">
        <v>242</v>
      </c>
      <c r="M2" s="53" t="s">
        <v>257</v>
      </c>
      <c r="N2" s="54" t="s">
        <v>119</v>
      </c>
      <c r="O2" s="54" t="s">
        <v>120</v>
      </c>
      <c r="P2" s="54" t="s">
        <v>121</v>
      </c>
      <c r="Q2" s="54" t="s">
        <v>122</v>
      </c>
      <c r="R2" s="54" t="s">
        <v>123</v>
      </c>
      <c r="S2" s="54" t="s">
        <v>124</v>
      </c>
      <c r="T2" s="54" t="s">
        <v>125</v>
      </c>
      <c r="U2" s="54" t="s">
        <v>126</v>
      </c>
      <c r="V2" s="54" t="s">
        <v>127</v>
      </c>
      <c r="W2" s="54" t="s">
        <v>128</v>
      </c>
      <c r="X2" s="54" t="s">
        <v>129</v>
      </c>
      <c r="Y2" s="54" t="s">
        <v>130</v>
      </c>
      <c r="Z2" s="55" t="s">
        <v>161</v>
      </c>
      <c r="AA2" s="56" t="s">
        <v>162</v>
      </c>
      <c r="AB2" s="56" t="s">
        <v>163</v>
      </c>
      <c r="AC2" s="56" t="s">
        <v>164</v>
      </c>
      <c r="AD2" s="56" t="s">
        <v>165</v>
      </c>
      <c r="AE2" s="56" t="s">
        <v>166</v>
      </c>
      <c r="AF2" s="57" t="s">
        <v>258</v>
      </c>
      <c r="AG2" s="58" t="s">
        <v>176</v>
      </c>
      <c r="AH2" s="58" t="s">
        <v>259</v>
      </c>
      <c r="AI2" s="58" t="s">
        <v>180</v>
      </c>
      <c r="AJ2" s="58" t="s">
        <v>260</v>
      </c>
      <c r="AK2" s="58" t="s">
        <v>261</v>
      </c>
      <c r="AL2" s="59" t="s">
        <v>208</v>
      </c>
      <c r="AM2" s="59" t="s">
        <v>185</v>
      </c>
      <c r="AN2" s="59" t="s">
        <v>209</v>
      </c>
      <c r="AO2" s="59" t="s">
        <v>176</v>
      </c>
      <c r="AP2" s="59" t="s">
        <v>210</v>
      </c>
      <c r="AQ2" s="59" t="s">
        <v>211</v>
      </c>
      <c r="AR2" s="59" t="s">
        <v>191</v>
      </c>
      <c r="AS2" s="59" t="s">
        <v>198</v>
      </c>
      <c r="AT2" s="145"/>
      <c r="AU2" s="50" t="s">
        <v>262</v>
      </c>
      <c r="AV2" s="147"/>
      <c r="AW2" s="50" t="s">
        <v>247</v>
      </c>
      <c r="AX2" s="149" t="s">
        <v>215</v>
      </c>
      <c r="AY2" s="50" t="s">
        <v>263</v>
      </c>
      <c r="AZ2" s="60" t="s">
        <v>264</v>
      </c>
      <c r="BA2" s="61" t="s">
        <v>265</v>
      </c>
      <c r="BB2" s="62" t="s">
        <v>251</v>
      </c>
      <c r="BC2" s="63" t="s">
        <v>266</v>
      </c>
      <c r="BD2" s="64" t="s">
        <v>267</v>
      </c>
      <c r="BE2" s="65" t="s">
        <v>268</v>
      </c>
      <c r="BF2" s="62" t="s">
        <v>269</v>
      </c>
      <c r="BG2" s="62" t="s">
        <v>250</v>
      </c>
    </row>
    <row r="3" spans="1:89" ht="19.649999999999999" customHeight="1" thickTop="1" thickBot="1">
      <c r="A3" s="49">
        <v>46085.375150462962</v>
      </c>
      <c r="B3" s="50" t="s">
        <v>40</v>
      </c>
      <c r="C3" s="50" t="s">
        <v>46</v>
      </c>
      <c r="D3" s="50" t="s">
        <v>369</v>
      </c>
      <c r="E3" s="50" t="s">
        <v>53</v>
      </c>
      <c r="F3" s="50" t="s">
        <v>286</v>
      </c>
      <c r="G3" s="50" t="s">
        <v>73</v>
      </c>
      <c r="H3" s="50" t="s">
        <v>337</v>
      </c>
      <c r="I3" s="50" t="s">
        <v>81</v>
      </c>
      <c r="J3" s="50" t="s">
        <v>286</v>
      </c>
      <c r="K3" s="50" t="s">
        <v>287</v>
      </c>
      <c r="L3" s="50" t="s">
        <v>594</v>
      </c>
      <c r="M3" s="50" t="s">
        <v>141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6</v>
      </c>
      <c r="AH3" s="111">
        <v>5</v>
      </c>
      <c r="AI3" s="111">
        <v>5</v>
      </c>
      <c r="AJ3" s="111">
        <v>5</v>
      </c>
      <c r="AK3" s="111">
        <v>6</v>
      </c>
      <c r="AL3" s="50" t="s">
        <v>199</v>
      </c>
      <c r="AM3" s="50" t="s">
        <v>200</v>
      </c>
      <c r="AN3" s="50" t="s">
        <v>202</v>
      </c>
      <c r="AO3" s="50" t="s">
        <v>202</v>
      </c>
      <c r="AP3" s="50" t="s">
        <v>199</v>
      </c>
      <c r="AQ3" s="50" t="s">
        <v>200</v>
      </c>
      <c r="AR3" s="50" t="s">
        <v>202</v>
      </c>
      <c r="AS3" s="50" t="s">
        <v>202</v>
      </c>
      <c r="AT3" s="50" t="s">
        <v>371</v>
      </c>
      <c r="AU3" s="50" t="s">
        <v>595</v>
      </c>
      <c r="AV3" s="50" t="s">
        <v>91</v>
      </c>
      <c r="AW3" s="50" t="s">
        <v>286</v>
      </c>
      <c r="AX3" s="50" t="s">
        <v>287</v>
      </c>
      <c r="AY3" s="50" t="s">
        <v>476</v>
      </c>
      <c r="AZ3" s="111">
        <v>5</v>
      </c>
      <c r="BA3" s="50" t="s">
        <v>288</v>
      </c>
      <c r="BB3" s="50" t="s">
        <v>350</v>
      </c>
      <c r="BC3" s="50" t="s">
        <v>596</v>
      </c>
      <c r="BD3" s="50" t="s">
        <v>288</v>
      </c>
      <c r="BE3" s="50" t="s">
        <v>287</v>
      </c>
      <c r="BF3" s="50" t="s">
        <v>597</v>
      </c>
      <c r="BG3" s="50" t="s">
        <v>348</v>
      </c>
      <c r="BH3" s="50" t="s">
        <v>486</v>
      </c>
      <c r="BI3" s="50"/>
      <c r="BJ3" s="111">
        <v>5</v>
      </c>
      <c r="BK3" s="50"/>
      <c r="BL3" s="50" t="s">
        <v>287</v>
      </c>
      <c r="BM3" s="50" t="s">
        <v>287</v>
      </c>
      <c r="BN3" s="50" t="s">
        <v>287</v>
      </c>
      <c r="BO3" s="50" t="s">
        <v>287</v>
      </c>
      <c r="BP3" s="50" t="s">
        <v>287</v>
      </c>
      <c r="BQ3" s="50"/>
      <c r="BR3" s="111">
        <v>5</v>
      </c>
      <c r="BS3" s="50" t="s">
        <v>287</v>
      </c>
      <c r="BT3" s="50"/>
      <c r="BU3" s="111">
        <v>5</v>
      </c>
      <c r="BV3" s="50" t="s">
        <v>287</v>
      </c>
      <c r="BW3" s="50" t="s">
        <v>287</v>
      </c>
      <c r="BX3" s="50" t="s">
        <v>287</v>
      </c>
      <c r="BY3" s="50" t="s">
        <v>287</v>
      </c>
      <c r="BZ3" s="50" t="s">
        <v>287</v>
      </c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</row>
    <row r="4" spans="1:89" ht="16.5" customHeight="1" thickBot="1">
      <c r="A4" s="49">
        <v>46085.399583333332</v>
      </c>
      <c r="B4" s="50" t="s">
        <v>40</v>
      </c>
      <c r="C4" s="50" t="s">
        <v>46</v>
      </c>
      <c r="D4" s="50" t="s">
        <v>374</v>
      </c>
      <c r="E4" s="50" t="s">
        <v>62</v>
      </c>
      <c r="F4" s="50" t="s">
        <v>286</v>
      </c>
      <c r="G4" s="50" t="s">
        <v>73</v>
      </c>
      <c r="H4" s="50" t="s">
        <v>458</v>
      </c>
      <c r="I4" s="50" t="s">
        <v>81</v>
      </c>
      <c r="J4" s="50" t="s">
        <v>286</v>
      </c>
      <c r="K4" s="50" t="s">
        <v>287</v>
      </c>
      <c r="L4" s="50" t="s">
        <v>594</v>
      </c>
      <c r="M4" s="50" t="s">
        <v>141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6</v>
      </c>
      <c r="AH4" s="111">
        <v>5</v>
      </c>
      <c r="AI4" s="111">
        <v>5</v>
      </c>
      <c r="AJ4" s="111">
        <v>5</v>
      </c>
      <c r="AK4" s="111">
        <v>6</v>
      </c>
      <c r="AL4" s="50" t="s">
        <v>200</v>
      </c>
      <c r="AM4" s="50" t="s">
        <v>199</v>
      </c>
      <c r="AN4" s="50" t="s">
        <v>202</v>
      </c>
      <c r="AO4" s="50" t="s">
        <v>202</v>
      </c>
      <c r="AP4" s="50" t="s">
        <v>199</v>
      </c>
      <c r="AQ4" s="50" t="s">
        <v>200</v>
      </c>
      <c r="AR4" s="50" t="s">
        <v>200</v>
      </c>
      <c r="AS4" s="50" t="s">
        <v>202</v>
      </c>
      <c r="AT4" s="50" t="s">
        <v>371</v>
      </c>
      <c r="AU4" s="50" t="s">
        <v>399</v>
      </c>
      <c r="AV4" s="50" t="s">
        <v>91</v>
      </c>
      <c r="AW4" s="50" t="s">
        <v>286</v>
      </c>
      <c r="AX4" s="50" t="s">
        <v>287</v>
      </c>
      <c r="AY4" s="50" t="s">
        <v>476</v>
      </c>
      <c r="AZ4" s="111">
        <v>5</v>
      </c>
      <c r="BA4" s="50" t="s">
        <v>288</v>
      </c>
      <c r="BB4" s="50" t="s">
        <v>350</v>
      </c>
      <c r="BC4" s="50" t="s">
        <v>387</v>
      </c>
      <c r="BD4" s="50" t="s">
        <v>288</v>
      </c>
      <c r="BE4" s="50" t="s">
        <v>287</v>
      </c>
      <c r="BF4" s="50" t="s">
        <v>286</v>
      </c>
      <c r="BG4" s="50" t="s">
        <v>348</v>
      </c>
      <c r="BH4" s="50" t="s">
        <v>486</v>
      </c>
      <c r="BI4" s="50"/>
      <c r="BJ4" s="111">
        <v>5</v>
      </c>
      <c r="BK4" s="50"/>
      <c r="BL4" s="50" t="s">
        <v>287</v>
      </c>
      <c r="BM4" s="50" t="s">
        <v>287</v>
      </c>
      <c r="BN4" s="50" t="s">
        <v>287</v>
      </c>
      <c r="BO4" s="50" t="s">
        <v>287</v>
      </c>
      <c r="BP4" s="50" t="s">
        <v>287</v>
      </c>
      <c r="BQ4" s="50"/>
      <c r="BR4" s="111">
        <v>5</v>
      </c>
      <c r="BS4" s="50" t="s">
        <v>287</v>
      </c>
      <c r="BT4" s="50"/>
      <c r="BU4" s="111">
        <v>5</v>
      </c>
      <c r="BV4" s="50" t="s">
        <v>287</v>
      </c>
      <c r="BW4" s="50" t="s">
        <v>287</v>
      </c>
      <c r="BX4" s="50" t="s">
        <v>287</v>
      </c>
      <c r="BY4" s="50" t="s">
        <v>287</v>
      </c>
      <c r="BZ4" s="50" t="s">
        <v>287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</row>
    <row r="5" spans="1:89" ht="16.5" customHeight="1" thickBot="1">
      <c r="A5" s="49">
        <v>46085.402337962965</v>
      </c>
      <c r="B5" s="50" t="s">
        <v>40</v>
      </c>
      <c r="C5" s="50" t="s">
        <v>45</v>
      </c>
      <c r="D5" s="50" t="s">
        <v>374</v>
      </c>
      <c r="E5" s="50" t="s">
        <v>61</v>
      </c>
      <c r="F5" s="50" t="s">
        <v>286</v>
      </c>
      <c r="G5" s="50" t="s">
        <v>73</v>
      </c>
      <c r="H5" s="50" t="s">
        <v>349</v>
      </c>
      <c r="I5" s="50" t="s">
        <v>81</v>
      </c>
      <c r="J5" s="50" t="s">
        <v>286</v>
      </c>
      <c r="K5" s="50" t="s">
        <v>287</v>
      </c>
      <c r="L5" s="50" t="s">
        <v>594</v>
      </c>
      <c r="M5" s="50" t="s">
        <v>141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6</v>
      </c>
      <c r="AH5" s="111">
        <v>5</v>
      </c>
      <c r="AI5" s="111">
        <v>5</v>
      </c>
      <c r="AJ5" s="111">
        <v>5</v>
      </c>
      <c r="AK5" s="111">
        <v>6</v>
      </c>
      <c r="AL5" s="50" t="s">
        <v>200</v>
      </c>
      <c r="AM5" s="50" t="s">
        <v>200</v>
      </c>
      <c r="AN5" s="50" t="s">
        <v>200</v>
      </c>
      <c r="AO5" s="50" t="s">
        <v>202</v>
      </c>
      <c r="AP5" s="50" t="s">
        <v>201</v>
      </c>
      <c r="AQ5" s="50" t="s">
        <v>201</v>
      </c>
      <c r="AR5" s="50" t="s">
        <v>200</v>
      </c>
      <c r="AS5" s="50" t="s">
        <v>202</v>
      </c>
      <c r="AT5" s="50" t="s">
        <v>371</v>
      </c>
      <c r="AU5" s="50" t="s">
        <v>318</v>
      </c>
      <c r="AV5" s="50" t="s">
        <v>91</v>
      </c>
      <c r="AW5" s="50" t="s">
        <v>286</v>
      </c>
      <c r="AX5" s="50" t="s">
        <v>287</v>
      </c>
      <c r="AY5" s="50" t="s">
        <v>476</v>
      </c>
      <c r="AZ5" s="111">
        <v>5</v>
      </c>
      <c r="BA5" s="50" t="s">
        <v>288</v>
      </c>
      <c r="BB5" s="50" t="s">
        <v>350</v>
      </c>
      <c r="BC5" s="50" t="s">
        <v>387</v>
      </c>
      <c r="BD5" s="50" t="s">
        <v>288</v>
      </c>
      <c r="BE5" s="50" t="s">
        <v>287</v>
      </c>
      <c r="BF5" s="50" t="s">
        <v>286</v>
      </c>
      <c r="BG5" s="50" t="s">
        <v>348</v>
      </c>
      <c r="BH5" s="50" t="s">
        <v>486</v>
      </c>
      <c r="BI5" s="50"/>
      <c r="BJ5" s="111">
        <v>5</v>
      </c>
      <c r="BK5" s="50"/>
      <c r="BL5" s="50" t="s">
        <v>287</v>
      </c>
      <c r="BM5" s="50" t="s">
        <v>287</v>
      </c>
      <c r="BN5" s="50" t="s">
        <v>287</v>
      </c>
      <c r="BO5" s="50" t="s">
        <v>287</v>
      </c>
      <c r="BP5" s="50" t="s">
        <v>287</v>
      </c>
      <c r="BQ5" s="50"/>
      <c r="BR5" s="111">
        <v>5</v>
      </c>
      <c r="BS5" s="50" t="s">
        <v>287</v>
      </c>
      <c r="BT5" s="50"/>
      <c r="BU5" s="111">
        <v>5</v>
      </c>
      <c r="BV5" s="50" t="s">
        <v>287</v>
      </c>
      <c r="BW5" s="50" t="s">
        <v>287</v>
      </c>
      <c r="BX5" s="50" t="s">
        <v>287</v>
      </c>
      <c r="BY5" s="50" t="s">
        <v>287</v>
      </c>
      <c r="BZ5" s="50" t="s">
        <v>287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</row>
    <row r="6" spans="1:89" ht="16.5" customHeight="1" thickBot="1">
      <c r="A6" s="49">
        <v>46085.411180555559</v>
      </c>
      <c r="B6" s="50" t="s">
        <v>40</v>
      </c>
      <c r="C6" s="50" t="s">
        <v>45</v>
      </c>
      <c r="D6" s="50" t="s">
        <v>374</v>
      </c>
      <c r="E6" s="50" t="s">
        <v>63</v>
      </c>
      <c r="F6" s="50" t="s">
        <v>286</v>
      </c>
      <c r="G6" s="50" t="s">
        <v>73</v>
      </c>
      <c r="H6" s="50" t="s">
        <v>598</v>
      </c>
      <c r="I6" s="50" t="s">
        <v>81</v>
      </c>
      <c r="J6" s="50" t="s">
        <v>376</v>
      </c>
      <c r="K6" s="50" t="s">
        <v>287</v>
      </c>
      <c r="L6" s="50" t="s">
        <v>594</v>
      </c>
      <c r="M6" s="50" t="s">
        <v>141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6</v>
      </c>
      <c r="AH6" s="111">
        <v>5</v>
      </c>
      <c r="AI6" s="111">
        <v>5</v>
      </c>
      <c r="AJ6" s="111">
        <v>5</v>
      </c>
      <c r="AK6" s="111">
        <v>6</v>
      </c>
      <c r="AL6" s="50" t="s">
        <v>200</v>
      </c>
      <c r="AM6" s="50" t="s">
        <v>200</v>
      </c>
      <c r="AN6" s="50" t="s">
        <v>202</v>
      </c>
      <c r="AO6" s="50" t="s">
        <v>202</v>
      </c>
      <c r="AP6" s="50" t="s">
        <v>200</v>
      </c>
      <c r="AQ6" s="50" t="s">
        <v>200</v>
      </c>
      <c r="AR6" s="50" t="s">
        <v>200</v>
      </c>
      <c r="AS6" s="50" t="s">
        <v>200</v>
      </c>
      <c r="AT6" s="50" t="s">
        <v>371</v>
      </c>
      <c r="AU6" s="50" t="s">
        <v>399</v>
      </c>
      <c r="AV6" s="50" t="s">
        <v>91</v>
      </c>
      <c r="AW6" s="50" t="s">
        <v>286</v>
      </c>
      <c r="AX6" s="50" t="s">
        <v>287</v>
      </c>
      <c r="AY6" s="50" t="s">
        <v>476</v>
      </c>
      <c r="AZ6" s="111">
        <v>5</v>
      </c>
      <c r="BA6" s="50" t="s">
        <v>288</v>
      </c>
      <c r="BB6" s="50" t="s">
        <v>350</v>
      </c>
      <c r="BC6" s="50" t="s">
        <v>387</v>
      </c>
      <c r="BD6" s="50" t="s">
        <v>288</v>
      </c>
      <c r="BE6" s="50" t="s">
        <v>287</v>
      </c>
      <c r="BF6" s="50" t="s">
        <v>599</v>
      </c>
      <c r="BG6" s="50" t="s">
        <v>348</v>
      </c>
      <c r="BH6" s="50" t="s">
        <v>486</v>
      </c>
      <c r="BI6" s="50"/>
      <c r="BJ6" s="111">
        <v>5</v>
      </c>
      <c r="BK6" s="50"/>
      <c r="BL6" s="50" t="s">
        <v>287</v>
      </c>
      <c r="BM6" s="50" t="s">
        <v>287</v>
      </c>
      <c r="BN6" s="50" t="s">
        <v>287</v>
      </c>
      <c r="BO6" s="50" t="s">
        <v>287</v>
      </c>
      <c r="BP6" s="50" t="s">
        <v>287</v>
      </c>
      <c r="BQ6" s="50"/>
      <c r="BR6" s="111">
        <v>5</v>
      </c>
      <c r="BS6" s="50" t="s">
        <v>287</v>
      </c>
      <c r="BT6" s="50"/>
      <c r="BU6" s="111">
        <v>5</v>
      </c>
      <c r="BV6" s="50" t="s">
        <v>287</v>
      </c>
      <c r="BW6" s="50" t="s">
        <v>287</v>
      </c>
      <c r="BX6" s="50" t="s">
        <v>287</v>
      </c>
      <c r="BY6" s="50" t="s">
        <v>287</v>
      </c>
      <c r="BZ6" s="50" t="s">
        <v>287</v>
      </c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</row>
    <row r="7" spans="1:89" ht="16.5" customHeight="1" thickBot="1">
      <c r="A7" s="49">
        <v>46085.413946759261</v>
      </c>
      <c r="B7" s="50" t="s">
        <v>40</v>
      </c>
      <c r="C7" s="50" t="s">
        <v>45</v>
      </c>
      <c r="D7" s="50" t="s">
        <v>369</v>
      </c>
      <c r="E7" s="50" t="s">
        <v>285</v>
      </c>
      <c r="F7" s="50" t="s">
        <v>286</v>
      </c>
      <c r="G7" s="50" t="s">
        <v>74</v>
      </c>
      <c r="H7" s="50" t="s">
        <v>600</v>
      </c>
      <c r="I7" s="50" t="s">
        <v>81</v>
      </c>
      <c r="J7" s="50" t="s">
        <v>286</v>
      </c>
      <c r="K7" s="50" t="s">
        <v>287</v>
      </c>
      <c r="L7" s="50" t="s">
        <v>594</v>
      </c>
      <c r="M7" s="50" t="s">
        <v>141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5</v>
      </c>
      <c r="AG7" s="111">
        <v>6</v>
      </c>
      <c r="AH7" s="111">
        <v>5</v>
      </c>
      <c r="AI7" s="111">
        <v>5</v>
      </c>
      <c r="AJ7" s="111">
        <v>5</v>
      </c>
      <c r="AK7" s="111">
        <v>6</v>
      </c>
      <c r="AL7" s="50" t="s">
        <v>200</v>
      </c>
      <c r="AM7" s="50" t="s">
        <v>200</v>
      </c>
      <c r="AN7" s="50" t="s">
        <v>202</v>
      </c>
      <c r="AO7" s="50" t="s">
        <v>201</v>
      </c>
      <c r="AP7" s="50" t="s">
        <v>199</v>
      </c>
      <c r="AQ7" s="50" t="s">
        <v>199</v>
      </c>
      <c r="AR7" s="50" t="s">
        <v>199</v>
      </c>
      <c r="AS7" s="50" t="s">
        <v>202</v>
      </c>
      <c r="AT7" s="50" t="s">
        <v>371</v>
      </c>
      <c r="AU7" s="50" t="s">
        <v>444</v>
      </c>
      <c r="AV7" s="50" t="s">
        <v>91</v>
      </c>
      <c r="AW7" s="50" t="s">
        <v>286</v>
      </c>
      <c r="AX7" s="50" t="s">
        <v>287</v>
      </c>
      <c r="AY7" s="50" t="s">
        <v>476</v>
      </c>
      <c r="AZ7" s="111">
        <v>5</v>
      </c>
      <c r="BA7" s="50" t="s">
        <v>288</v>
      </c>
      <c r="BB7" s="50" t="s">
        <v>350</v>
      </c>
      <c r="BC7" s="50" t="s">
        <v>387</v>
      </c>
      <c r="BD7" s="50" t="s">
        <v>288</v>
      </c>
      <c r="BE7" s="50" t="s">
        <v>287</v>
      </c>
      <c r="BF7" s="50" t="s">
        <v>286</v>
      </c>
      <c r="BG7" s="50" t="s">
        <v>348</v>
      </c>
      <c r="BH7" s="50" t="s">
        <v>486</v>
      </c>
      <c r="BI7" s="50"/>
      <c r="BJ7" s="111">
        <v>5</v>
      </c>
      <c r="BK7" s="50"/>
      <c r="BL7" s="50" t="s">
        <v>287</v>
      </c>
      <c r="BM7" s="50" t="s">
        <v>287</v>
      </c>
      <c r="BN7" s="50" t="s">
        <v>287</v>
      </c>
      <c r="BO7" s="50" t="s">
        <v>287</v>
      </c>
      <c r="BP7" s="50" t="s">
        <v>287</v>
      </c>
      <c r="BQ7" s="50"/>
      <c r="BR7" s="111">
        <v>5</v>
      </c>
      <c r="BS7" s="50" t="s">
        <v>287</v>
      </c>
      <c r="BT7" s="50"/>
      <c r="BU7" s="111">
        <v>5</v>
      </c>
      <c r="BV7" s="50" t="s">
        <v>287</v>
      </c>
      <c r="BW7" s="50" t="s">
        <v>287</v>
      </c>
      <c r="BX7" s="50" t="s">
        <v>287</v>
      </c>
      <c r="BY7" s="50" t="s">
        <v>287</v>
      </c>
      <c r="BZ7" s="50" t="s">
        <v>287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</row>
    <row r="8" spans="1:89" ht="16.5" customHeight="1" thickBot="1">
      <c r="A8" s="49">
        <v>46085.417002314818</v>
      </c>
      <c r="B8" s="50" t="s">
        <v>39</v>
      </c>
      <c r="C8" s="50" t="s">
        <v>45</v>
      </c>
      <c r="D8" s="50" t="s">
        <v>374</v>
      </c>
      <c r="E8" s="50" t="s">
        <v>61</v>
      </c>
      <c r="F8" s="50" t="s">
        <v>286</v>
      </c>
      <c r="G8" s="50" t="s">
        <v>73</v>
      </c>
      <c r="H8" s="50" t="s">
        <v>601</v>
      </c>
      <c r="I8" s="50" t="s">
        <v>81</v>
      </c>
      <c r="J8" s="50" t="s">
        <v>286</v>
      </c>
      <c r="K8" s="50" t="s">
        <v>287</v>
      </c>
      <c r="L8" s="50" t="s">
        <v>594</v>
      </c>
      <c r="M8" s="50" t="s">
        <v>141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5</v>
      </c>
      <c r="AL8" s="50" t="s">
        <v>200</v>
      </c>
      <c r="AM8" s="50" t="s">
        <v>200</v>
      </c>
      <c r="AN8" s="50" t="s">
        <v>202</v>
      </c>
      <c r="AO8" s="50" t="s">
        <v>202</v>
      </c>
      <c r="AP8" s="50" t="s">
        <v>200</v>
      </c>
      <c r="AQ8" s="50" t="s">
        <v>200</v>
      </c>
      <c r="AR8" s="50" t="s">
        <v>202</v>
      </c>
      <c r="AS8" s="50" t="s">
        <v>202</v>
      </c>
      <c r="AT8" s="50" t="s">
        <v>371</v>
      </c>
      <c r="AU8" s="50" t="s">
        <v>443</v>
      </c>
      <c r="AV8" s="50" t="s">
        <v>91</v>
      </c>
      <c r="AW8" s="50" t="s">
        <v>286</v>
      </c>
      <c r="AX8" s="50" t="s">
        <v>287</v>
      </c>
      <c r="AY8" s="50" t="s">
        <v>476</v>
      </c>
      <c r="AZ8" s="111">
        <v>4</v>
      </c>
      <c r="BA8" s="50" t="s">
        <v>288</v>
      </c>
      <c r="BB8" s="50" t="s">
        <v>350</v>
      </c>
      <c r="BC8" s="50" t="s">
        <v>387</v>
      </c>
      <c r="BD8" s="50" t="s">
        <v>288</v>
      </c>
      <c r="BE8" s="50" t="s">
        <v>287</v>
      </c>
      <c r="BF8" s="50" t="s">
        <v>286</v>
      </c>
      <c r="BG8" s="50" t="s">
        <v>348</v>
      </c>
      <c r="BH8" s="50" t="s">
        <v>486</v>
      </c>
      <c r="BI8" s="50"/>
      <c r="BJ8" s="111">
        <v>5</v>
      </c>
      <c r="BK8" s="50"/>
      <c r="BL8" s="50" t="s">
        <v>287</v>
      </c>
      <c r="BM8" s="50" t="s">
        <v>287</v>
      </c>
      <c r="BN8" s="50" t="s">
        <v>287</v>
      </c>
      <c r="BO8" s="50" t="s">
        <v>287</v>
      </c>
      <c r="BP8" s="50" t="s">
        <v>287</v>
      </c>
      <c r="BQ8" s="50"/>
      <c r="BR8" s="111">
        <v>5</v>
      </c>
      <c r="BS8" s="50" t="s">
        <v>287</v>
      </c>
      <c r="BT8" s="50"/>
      <c r="BU8" s="111">
        <v>5</v>
      </c>
      <c r="BV8" s="50" t="s">
        <v>287</v>
      </c>
      <c r="BW8" s="50" t="s">
        <v>287</v>
      </c>
      <c r="BX8" s="50" t="s">
        <v>287</v>
      </c>
      <c r="BY8" s="50" t="s">
        <v>287</v>
      </c>
      <c r="BZ8" s="50" t="s">
        <v>287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</row>
    <row r="9" spans="1:89" ht="16.5" customHeight="1" thickBot="1">
      <c r="A9" s="49">
        <v>46086.37054398148</v>
      </c>
      <c r="B9" s="50" t="s">
        <v>36</v>
      </c>
      <c r="C9" s="50" t="s">
        <v>45</v>
      </c>
      <c r="D9" s="50" t="s">
        <v>374</v>
      </c>
      <c r="E9" s="50" t="s">
        <v>62</v>
      </c>
      <c r="F9" s="50" t="s">
        <v>286</v>
      </c>
      <c r="G9" s="50" t="s">
        <v>73</v>
      </c>
      <c r="H9" s="50" t="s">
        <v>430</v>
      </c>
      <c r="I9" s="50" t="s">
        <v>91</v>
      </c>
      <c r="J9" s="50" t="s">
        <v>286</v>
      </c>
      <c r="K9" s="50" t="s">
        <v>291</v>
      </c>
      <c r="L9" s="50" t="s">
        <v>286</v>
      </c>
      <c r="M9" s="50" t="s">
        <v>351</v>
      </c>
      <c r="N9" s="111">
        <v>4</v>
      </c>
      <c r="O9" s="111">
        <v>4</v>
      </c>
      <c r="P9" s="111">
        <v>4</v>
      </c>
      <c r="Q9" s="111">
        <v>4</v>
      </c>
      <c r="R9" s="111">
        <v>4</v>
      </c>
      <c r="S9" s="111">
        <v>4</v>
      </c>
      <c r="T9" s="111">
        <v>4</v>
      </c>
      <c r="U9" s="111">
        <v>4</v>
      </c>
      <c r="V9" s="111">
        <v>4</v>
      </c>
      <c r="W9" s="111">
        <v>4</v>
      </c>
      <c r="X9" s="111">
        <v>4</v>
      </c>
      <c r="Y9" s="111">
        <v>4</v>
      </c>
      <c r="Z9" s="111">
        <v>4</v>
      </c>
      <c r="AA9" s="111">
        <v>4</v>
      </c>
      <c r="AB9" s="111">
        <v>4</v>
      </c>
      <c r="AC9" s="111">
        <v>4</v>
      </c>
      <c r="AD9" s="111">
        <v>4</v>
      </c>
      <c r="AE9" s="111">
        <v>4</v>
      </c>
      <c r="AF9" s="111">
        <v>5</v>
      </c>
      <c r="AG9" s="111">
        <v>6</v>
      </c>
      <c r="AH9" s="111">
        <v>5</v>
      </c>
      <c r="AI9" s="111">
        <v>5</v>
      </c>
      <c r="AJ9" s="111">
        <v>5</v>
      </c>
      <c r="AK9" s="111">
        <v>6</v>
      </c>
      <c r="AL9" s="50" t="s">
        <v>201</v>
      </c>
      <c r="AM9" s="50" t="s">
        <v>201</v>
      </c>
      <c r="AN9" s="50" t="s">
        <v>202</v>
      </c>
      <c r="AO9" s="50" t="s">
        <v>202</v>
      </c>
      <c r="AP9" s="50" t="s">
        <v>202</v>
      </c>
      <c r="AQ9" s="50" t="s">
        <v>202</v>
      </c>
      <c r="AR9" s="50" t="s">
        <v>201</v>
      </c>
      <c r="AS9" s="50" t="s">
        <v>202</v>
      </c>
      <c r="AT9" s="50" t="s">
        <v>371</v>
      </c>
      <c r="AU9" s="50" t="s">
        <v>479</v>
      </c>
      <c r="AV9" s="50" t="s">
        <v>91</v>
      </c>
      <c r="AW9" s="50" t="s">
        <v>286</v>
      </c>
      <c r="AX9" s="50" t="s">
        <v>287</v>
      </c>
      <c r="AY9" s="50" t="s">
        <v>476</v>
      </c>
      <c r="AZ9" s="111">
        <v>5</v>
      </c>
      <c r="BA9" s="50" t="s">
        <v>288</v>
      </c>
      <c r="BB9" s="50" t="s">
        <v>350</v>
      </c>
      <c r="BC9" s="50" t="s">
        <v>387</v>
      </c>
      <c r="BD9" s="50" t="s">
        <v>288</v>
      </c>
      <c r="BE9" s="50" t="s">
        <v>287</v>
      </c>
      <c r="BF9" s="50" t="s">
        <v>286</v>
      </c>
      <c r="BG9" s="50" t="s">
        <v>348</v>
      </c>
      <c r="BH9" s="50" t="s">
        <v>486</v>
      </c>
      <c r="BI9" s="50"/>
      <c r="BJ9" s="111">
        <v>4</v>
      </c>
      <c r="BK9" s="50"/>
      <c r="BL9" s="50" t="s">
        <v>287</v>
      </c>
      <c r="BM9" s="50" t="s">
        <v>287</v>
      </c>
      <c r="BN9" s="50" t="s">
        <v>287</v>
      </c>
      <c r="BO9" s="50" t="s">
        <v>287</v>
      </c>
      <c r="BP9" s="50" t="s">
        <v>287</v>
      </c>
      <c r="BQ9" s="50"/>
      <c r="BR9" s="111">
        <v>4</v>
      </c>
      <c r="BS9" s="50" t="s">
        <v>287</v>
      </c>
      <c r="BT9" s="50"/>
      <c r="BU9" s="111">
        <v>5</v>
      </c>
      <c r="BV9" s="50" t="s">
        <v>287</v>
      </c>
      <c r="BW9" s="50" t="s">
        <v>287</v>
      </c>
      <c r="BX9" s="50" t="s">
        <v>287</v>
      </c>
      <c r="BY9" s="50" t="s">
        <v>287</v>
      </c>
      <c r="BZ9" s="50" t="s">
        <v>287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</row>
    <row r="10" spans="1:89" ht="16.5" customHeight="1" thickBot="1">
      <c r="A10" s="49">
        <v>46086.372546296298</v>
      </c>
      <c r="B10" s="50" t="s">
        <v>37</v>
      </c>
      <c r="C10" s="50" t="s">
        <v>46</v>
      </c>
      <c r="D10" s="50" t="s">
        <v>374</v>
      </c>
      <c r="E10" s="50" t="s">
        <v>62</v>
      </c>
      <c r="F10" s="50" t="s">
        <v>286</v>
      </c>
      <c r="G10" s="50" t="s">
        <v>73</v>
      </c>
      <c r="H10" s="50" t="s">
        <v>445</v>
      </c>
      <c r="I10" s="50" t="s">
        <v>91</v>
      </c>
      <c r="J10" s="50" t="s">
        <v>286</v>
      </c>
      <c r="K10" s="50" t="s">
        <v>291</v>
      </c>
      <c r="L10" s="50" t="s">
        <v>286</v>
      </c>
      <c r="M10" s="50" t="s">
        <v>351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6</v>
      </c>
      <c r="AH10" s="111">
        <v>5</v>
      </c>
      <c r="AI10" s="111">
        <v>5</v>
      </c>
      <c r="AJ10" s="111">
        <v>5</v>
      </c>
      <c r="AK10" s="111">
        <v>6</v>
      </c>
      <c r="AL10" s="50" t="s">
        <v>201</v>
      </c>
      <c r="AM10" s="50" t="s">
        <v>201</v>
      </c>
      <c r="AN10" s="50" t="s">
        <v>202</v>
      </c>
      <c r="AO10" s="50" t="s">
        <v>202</v>
      </c>
      <c r="AP10" s="50" t="s">
        <v>202</v>
      </c>
      <c r="AQ10" s="50" t="s">
        <v>202</v>
      </c>
      <c r="AR10" s="50" t="s">
        <v>202</v>
      </c>
      <c r="AS10" s="50" t="s">
        <v>202</v>
      </c>
      <c r="AT10" s="50" t="s">
        <v>371</v>
      </c>
      <c r="AU10" s="50" t="s">
        <v>444</v>
      </c>
      <c r="AV10" s="50" t="s">
        <v>91</v>
      </c>
      <c r="AW10" s="50" t="s">
        <v>286</v>
      </c>
      <c r="AX10" s="50" t="s">
        <v>287</v>
      </c>
      <c r="AY10" s="50" t="s">
        <v>478</v>
      </c>
      <c r="AZ10" s="111">
        <v>5</v>
      </c>
      <c r="BA10" s="50" t="s">
        <v>288</v>
      </c>
      <c r="BB10" s="50" t="s">
        <v>350</v>
      </c>
      <c r="BC10" s="50" t="s">
        <v>294</v>
      </c>
      <c r="BD10" s="50" t="s">
        <v>288</v>
      </c>
      <c r="BE10" s="50" t="s">
        <v>287</v>
      </c>
      <c r="BF10" s="50" t="s">
        <v>286</v>
      </c>
      <c r="BG10" s="50" t="s">
        <v>348</v>
      </c>
      <c r="BH10" s="50" t="s">
        <v>486</v>
      </c>
      <c r="BI10" s="50"/>
      <c r="BJ10" s="111">
        <v>5</v>
      </c>
      <c r="BK10" s="50"/>
      <c r="BL10" s="50" t="s">
        <v>287</v>
      </c>
      <c r="BM10" s="50" t="s">
        <v>287</v>
      </c>
      <c r="BN10" s="50" t="s">
        <v>287</v>
      </c>
      <c r="BO10" s="50" t="s">
        <v>287</v>
      </c>
      <c r="BP10" s="50" t="s">
        <v>287</v>
      </c>
      <c r="BQ10" s="50"/>
      <c r="BR10" s="111">
        <v>5</v>
      </c>
      <c r="BS10" s="50" t="s">
        <v>287</v>
      </c>
      <c r="BT10" s="50"/>
      <c r="BU10" s="111">
        <v>5</v>
      </c>
      <c r="BV10" s="50" t="s">
        <v>287</v>
      </c>
      <c r="BW10" s="50" t="s">
        <v>287</v>
      </c>
      <c r="BX10" s="50" t="s">
        <v>287</v>
      </c>
      <c r="BY10" s="50" t="s">
        <v>287</v>
      </c>
      <c r="BZ10" s="50" t="s">
        <v>287</v>
      </c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</row>
    <row r="11" spans="1:89" ht="16.5" customHeight="1" thickBot="1">
      <c r="A11" s="49">
        <v>46086.375300925924</v>
      </c>
      <c r="B11" s="50" t="s">
        <v>32</v>
      </c>
      <c r="C11" s="50" t="s">
        <v>45</v>
      </c>
      <c r="D11" s="50" t="s">
        <v>369</v>
      </c>
      <c r="E11" s="50" t="s">
        <v>285</v>
      </c>
      <c r="F11" s="50" t="s">
        <v>286</v>
      </c>
      <c r="G11" s="50" t="s">
        <v>73</v>
      </c>
      <c r="H11" s="50" t="s">
        <v>602</v>
      </c>
      <c r="I11" s="50" t="s">
        <v>91</v>
      </c>
      <c r="J11" s="50" t="s">
        <v>286</v>
      </c>
      <c r="K11" s="50" t="s">
        <v>291</v>
      </c>
      <c r="L11" s="50" t="s">
        <v>286</v>
      </c>
      <c r="M11" s="50" t="s">
        <v>351</v>
      </c>
      <c r="N11" s="111">
        <v>4</v>
      </c>
      <c r="O11" s="111">
        <v>4</v>
      </c>
      <c r="P11" s="111">
        <v>4</v>
      </c>
      <c r="Q11" s="111">
        <v>4</v>
      </c>
      <c r="R11" s="111">
        <v>4</v>
      </c>
      <c r="S11" s="111">
        <v>4</v>
      </c>
      <c r="T11" s="111">
        <v>4</v>
      </c>
      <c r="U11" s="111">
        <v>4</v>
      </c>
      <c r="V11" s="111">
        <v>4</v>
      </c>
      <c r="W11" s="111">
        <v>4</v>
      </c>
      <c r="X11" s="111">
        <v>4</v>
      </c>
      <c r="Y11" s="111">
        <v>4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6</v>
      </c>
      <c r="AH11" s="111">
        <v>5</v>
      </c>
      <c r="AI11" s="111">
        <v>5</v>
      </c>
      <c r="AJ11" s="111">
        <v>5</v>
      </c>
      <c r="AK11" s="111">
        <v>6</v>
      </c>
      <c r="AL11" s="50" t="s">
        <v>200</v>
      </c>
      <c r="AM11" s="50" t="s">
        <v>200</v>
      </c>
      <c r="AN11" s="50" t="s">
        <v>202</v>
      </c>
      <c r="AO11" s="50" t="s">
        <v>202</v>
      </c>
      <c r="AP11" s="50" t="s">
        <v>200</v>
      </c>
      <c r="AQ11" s="50" t="s">
        <v>202</v>
      </c>
      <c r="AR11" s="50" t="s">
        <v>199</v>
      </c>
      <c r="AS11" s="50" t="s">
        <v>202</v>
      </c>
      <c r="AT11" s="50" t="s">
        <v>371</v>
      </c>
      <c r="AU11" s="50" t="s">
        <v>318</v>
      </c>
      <c r="AV11" s="50" t="s">
        <v>91</v>
      </c>
      <c r="AW11" s="50" t="s">
        <v>286</v>
      </c>
      <c r="AX11" s="50" t="s">
        <v>287</v>
      </c>
      <c r="AY11" s="50" t="s">
        <v>476</v>
      </c>
      <c r="AZ11" s="111">
        <v>5</v>
      </c>
      <c r="BA11" s="50" t="s">
        <v>288</v>
      </c>
      <c r="BB11" s="50" t="s">
        <v>350</v>
      </c>
      <c r="BC11" s="50" t="s">
        <v>387</v>
      </c>
      <c r="BD11" s="50" t="s">
        <v>288</v>
      </c>
      <c r="BE11" s="50" t="s">
        <v>287</v>
      </c>
      <c r="BF11" s="50" t="s">
        <v>286</v>
      </c>
      <c r="BG11" s="50" t="s">
        <v>348</v>
      </c>
      <c r="BH11" s="50" t="s">
        <v>486</v>
      </c>
      <c r="BI11" s="50"/>
      <c r="BJ11" s="111">
        <v>5</v>
      </c>
      <c r="BK11" s="50"/>
      <c r="BL11" s="50" t="s">
        <v>287</v>
      </c>
      <c r="BM11" s="50" t="s">
        <v>287</v>
      </c>
      <c r="BN11" s="50" t="s">
        <v>287</v>
      </c>
      <c r="BO11" s="50" t="s">
        <v>287</v>
      </c>
      <c r="BP11" s="50" t="s">
        <v>287</v>
      </c>
      <c r="BQ11" s="50"/>
      <c r="BR11" s="111">
        <v>5</v>
      </c>
      <c r="BS11" s="50" t="s">
        <v>287</v>
      </c>
      <c r="BT11" s="50"/>
      <c r="BU11" s="111">
        <v>5</v>
      </c>
      <c r="BV11" s="50" t="s">
        <v>287</v>
      </c>
      <c r="BW11" s="50" t="s">
        <v>287</v>
      </c>
      <c r="BX11" s="50" t="s">
        <v>287</v>
      </c>
      <c r="BY11" s="50" t="s">
        <v>287</v>
      </c>
      <c r="BZ11" s="50" t="s">
        <v>287</v>
      </c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</row>
    <row r="12" spans="1:89" ht="16.5" customHeight="1" thickBot="1">
      <c r="A12" s="49">
        <v>46086.380428240744</v>
      </c>
      <c r="B12" s="50" t="s">
        <v>35</v>
      </c>
      <c r="C12" s="50" t="s">
        <v>46</v>
      </c>
      <c r="D12" s="50" t="s">
        <v>385</v>
      </c>
      <c r="E12" s="50" t="s">
        <v>60</v>
      </c>
      <c r="F12" s="50" t="s">
        <v>440</v>
      </c>
      <c r="G12" s="50" t="s">
        <v>73</v>
      </c>
      <c r="H12" s="50" t="s">
        <v>603</v>
      </c>
      <c r="I12" s="50" t="s">
        <v>91</v>
      </c>
      <c r="J12" s="50" t="s">
        <v>286</v>
      </c>
      <c r="K12" s="50" t="s">
        <v>291</v>
      </c>
      <c r="L12" s="50" t="s">
        <v>286</v>
      </c>
      <c r="M12" s="50" t="s">
        <v>351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6</v>
      </c>
      <c r="AH12" s="111">
        <v>5</v>
      </c>
      <c r="AI12" s="111">
        <v>5</v>
      </c>
      <c r="AJ12" s="111">
        <v>5</v>
      </c>
      <c r="AK12" s="111">
        <v>6</v>
      </c>
      <c r="AL12" s="50" t="s">
        <v>200</v>
      </c>
      <c r="AM12" s="50" t="s">
        <v>200</v>
      </c>
      <c r="AN12" s="50" t="s">
        <v>202</v>
      </c>
      <c r="AO12" s="50" t="s">
        <v>202</v>
      </c>
      <c r="AP12" s="50" t="s">
        <v>200</v>
      </c>
      <c r="AQ12" s="50" t="s">
        <v>201</v>
      </c>
      <c r="AR12" s="50" t="s">
        <v>201</v>
      </c>
      <c r="AS12" s="50" t="s">
        <v>201</v>
      </c>
      <c r="AT12" s="50" t="s">
        <v>371</v>
      </c>
      <c r="AU12" s="50" t="s">
        <v>444</v>
      </c>
      <c r="AV12" s="50" t="s">
        <v>91</v>
      </c>
      <c r="AW12" s="50" t="s">
        <v>286</v>
      </c>
      <c r="AX12" s="50" t="s">
        <v>287</v>
      </c>
      <c r="AY12" s="50" t="s">
        <v>476</v>
      </c>
      <c r="AZ12" s="111">
        <v>5</v>
      </c>
      <c r="BA12" s="50" t="s">
        <v>288</v>
      </c>
      <c r="BB12" s="50" t="s">
        <v>350</v>
      </c>
      <c r="BC12" s="50" t="s">
        <v>387</v>
      </c>
      <c r="BD12" s="50" t="s">
        <v>288</v>
      </c>
      <c r="BE12" s="50" t="s">
        <v>287</v>
      </c>
      <c r="BF12" s="50" t="s">
        <v>286</v>
      </c>
      <c r="BG12" s="50" t="s">
        <v>348</v>
      </c>
      <c r="BH12" s="50" t="s">
        <v>486</v>
      </c>
      <c r="BI12" s="50"/>
      <c r="BJ12" s="111">
        <v>5</v>
      </c>
      <c r="BK12" s="50"/>
      <c r="BL12" s="50" t="s">
        <v>287</v>
      </c>
      <c r="BM12" s="50" t="s">
        <v>287</v>
      </c>
      <c r="BN12" s="50" t="s">
        <v>287</v>
      </c>
      <c r="BO12" s="50" t="s">
        <v>287</v>
      </c>
      <c r="BP12" s="50" t="s">
        <v>287</v>
      </c>
      <c r="BQ12" s="50"/>
      <c r="BR12" s="111">
        <v>5</v>
      </c>
      <c r="BS12" s="50" t="s">
        <v>287</v>
      </c>
      <c r="BT12" s="50"/>
      <c r="BU12" s="111">
        <v>5</v>
      </c>
      <c r="BV12" s="50" t="s">
        <v>287</v>
      </c>
      <c r="BW12" s="50" t="s">
        <v>287</v>
      </c>
      <c r="BX12" s="50" t="s">
        <v>287</v>
      </c>
      <c r="BY12" s="50" t="s">
        <v>287</v>
      </c>
      <c r="BZ12" s="50" t="s">
        <v>287</v>
      </c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</row>
    <row r="13" spans="1:89" ht="16.5" customHeight="1" thickBot="1">
      <c r="A13" s="49">
        <v>46086.38490740741</v>
      </c>
      <c r="B13" s="50" t="s">
        <v>34</v>
      </c>
      <c r="C13" s="50" t="s">
        <v>45</v>
      </c>
      <c r="D13" s="50" t="s">
        <v>369</v>
      </c>
      <c r="E13" s="50" t="s">
        <v>285</v>
      </c>
      <c r="F13" s="50" t="s">
        <v>286</v>
      </c>
      <c r="G13" s="50" t="s">
        <v>292</v>
      </c>
      <c r="H13" s="50" t="s">
        <v>496</v>
      </c>
      <c r="I13" s="50" t="s">
        <v>91</v>
      </c>
      <c r="J13" s="50" t="s">
        <v>286</v>
      </c>
      <c r="K13" s="50" t="s">
        <v>291</v>
      </c>
      <c r="L13" s="50" t="s">
        <v>286</v>
      </c>
      <c r="M13" s="50" t="s">
        <v>351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6</v>
      </c>
      <c r="AH13" s="111">
        <v>5</v>
      </c>
      <c r="AI13" s="111">
        <v>6</v>
      </c>
      <c r="AJ13" s="111">
        <v>5</v>
      </c>
      <c r="AK13" s="111">
        <v>6</v>
      </c>
      <c r="AL13" s="50" t="s">
        <v>199</v>
      </c>
      <c r="AM13" s="50" t="s">
        <v>199</v>
      </c>
      <c r="AN13" s="50" t="s">
        <v>202</v>
      </c>
      <c r="AO13" s="50" t="s">
        <v>202</v>
      </c>
      <c r="AP13" s="50" t="s">
        <v>199</v>
      </c>
      <c r="AQ13" s="50" t="s">
        <v>202</v>
      </c>
      <c r="AR13" s="50" t="s">
        <v>202</v>
      </c>
      <c r="AS13" s="50" t="s">
        <v>202</v>
      </c>
      <c r="AT13" s="50" t="s">
        <v>371</v>
      </c>
      <c r="AU13" s="50" t="s">
        <v>318</v>
      </c>
      <c r="AV13" s="50" t="s">
        <v>91</v>
      </c>
      <c r="AW13" s="50" t="s">
        <v>286</v>
      </c>
      <c r="AX13" s="50" t="s">
        <v>287</v>
      </c>
      <c r="AY13" s="50" t="s">
        <v>476</v>
      </c>
      <c r="AZ13" s="111">
        <v>5</v>
      </c>
      <c r="BA13" s="50" t="s">
        <v>288</v>
      </c>
      <c r="BB13" s="50" t="s">
        <v>350</v>
      </c>
      <c r="BC13" s="50" t="s">
        <v>294</v>
      </c>
      <c r="BD13" s="50" t="s">
        <v>288</v>
      </c>
      <c r="BE13" s="50" t="s">
        <v>287</v>
      </c>
      <c r="BF13" s="50" t="s">
        <v>286</v>
      </c>
      <c r="BG13" s="50" t="s">
        <v>348</v>
      </c>
      <c r="BH13" s="50" t="s">
        <v>486</v>
      </c>
      <c r="BI13" s="50"/>
      <c r="BJ13" s="111">
        <v>5</v>
      </c>
      <c r="BK13" s="50"/>
      <c r="BL13" s="50" t="s">
        <v>287</v>
      </c>
      <c r="BM13" s="50" t="s">
        <v>287</v>
      </c>
      <c r="BN13" s="50" t="s">
        <v>287</v>
      </c>
      <c r="BO13" s="50" t="s">
        <v>287</v>
      </c>
      <c r="BP13" s="50" t="s">
        <v>287</v>
      </c>
      <c r="BQ13" s="50"/>
      <c r="BR13" s="111">
        <v>5</v>
      </c>
      <c r="BS13" s="50" t="s">
        <v>287</v>
      </c>
      <c r="BT13" s="50"/>
      <c r="BU13" s="111">
        <v>5</v>
      </c>
      <c r="BV13" s="50" t="s">
        <v>287</v>
      </c>
      <c r="BW13" s="50" t="s">
        <v>287</v>
      </c>
      <c r="BX13" s="50" t="s">
        <v>287</v>
      </c>
      <c r="BY13" s="50" t="s">
        <v>287</v>
      </c>
      <c r="BZ13" s="50" t="s">
        <v>287</v>
      </c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</row>
    <row r="14" spans="1:89" ht="16.5" customHeight="1" thickBot="1">
      <c r="A14" s="49">
        <v>46086.391053240739</v>
      </c>
      <c r="B14" s="50" t="s">
        <v>33</v>
      </c>
      <c r="C14" s="50" t="s">
        <v>45</v>
      </c>
      <c r="D14" s="50" t="s">
        <v>374</v>
      </c>
      <c r="E14" s="50" t="s">
        <v>61</v>
      </c>
      <c r="F14" s="50" t="s">
        <v>286</v>
      </c>
      <c r="G14" s="50" t="s">
        <v>73</v>
      </c>
      <c r="H14" s="50" t="s">
        <v>383</v>
      </c>
      <c r="I14" s="50" t="s">
        <v>91</v>
      </c>
      <c r="J14" s="50" t="s">
        <v>286</v>
      </c>
      <c r="K14" s="50" t="s">
        <v>291</v>
      </c>
      <c r="L14" s="50" t="s">
        <v>286</v>
      </c>
      <c r="M14" s="50" t="s">
        <v>351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6</v>
      </c>
      <c r="AH14" s="111">
        <v>5</v>
      </c>
      <c r="AI14" s="111">
        <v>5</v>
      </c>
      <c r="AJ14" s="111">
        <v>5</v>
      </c>
      <c r="AK14" s="111">
        <v>6</v>
      </c>
      <c r="AL14" s="50" t="s">
        <v>199</v>
      </c>
      <c r="AM14" s="50" t="s">
        <v>199</v>
      </c>
      <c r="AN14" s="50" t="s">
        <v>202</v>
      </c>
      <c r="AO14" s="50" t="s">
        <v>202</v>
      </c>
      <c r="AP14" s="50" t="s">
        <v>199</v>
      </c>
      <c r="AQ14" s="50" t="s">
        <v>202</v>
      </c>
      <c r="AR14" s="50" t="s">
        <v>202</v>
      </c>
      <c r="AS14" s="50" t="s">
        <v>202</v>
      </c>
      <c r="AT14" s="50" t="s">
        <v>371</v>
      </c>
      <c r="AU14" s="50" t="s">
        <v>318</v>
      </c>
      <c r="AV14" s="50" t="s">
        <v>91</v>
      </c>
      <c r="AW14" s="50" t="s">
        <v>286</v>
      </c>
      <c r="AX14" s="50" t="s">
        <v>287</v>
      </c>
      <c r="AY14" s="50" t="s">
        <v>476</v>
      </c>
      <c r="AZ14" s="111">
        <v>5</v>
      </c>
      <c r="BA14" s="50" t="s">
        <v>288</v>
      </c>
      <c r="BB14" s="50" t="s">
        <v>350</v>
      </c>
      <c r="BC14" s="50" t="s">
        <v>387</v>
      </c>
      <c r="BD14" s="50" t="s">
        <v>288</v>
      </c>
      <c r="BE14" s="50" t="s">
        <v>287</v>
      </c>
      <c r="BF14" s="50" t="s">
        <v>286</v>
      </c>
      <c r="BG14" s="50" t="s">
        <v>348</v>
      </c>
      <c r="BH14" s="50" t="s">
        <v>486</v>
      </c>
      <c r="BI14" s="50"/>
      <c r="BJ14" s="111">
        <v>5</v>
      </c>
      <c r="BK14" s="50"/>
      <c r="BL14" s="50" t="s">
        <v>287</v>
      </c>
      <c r="BM14" s="50" t="s">
        <v>287</v>
      </c>
      <c r="BN14" s="50" t="s">
        <v>287</v>
      </c>
      <c r="BO14" s="50" t="s">
        <v>287</v>
      </c>
      <c r="BP14" s="50" t="s">
        <v>287</v>
      </c>
      <c r="BQ14" s="50"/>
      <c r="BR14" s="111">
        <v>5</v>
      </c>
      <c r="BS14" s="50" t="s">
        <v>287</v>
      </c>
      <c r="BT14" s="50"/>
      <c r="BU14" s="111">
        <v>5</v>
      </c>
      <c r="BV14" s="50" t="s">
        <v>287</v>
      </c>
      <c r="BW14" s="50" t="s">
        <v>287</v>
      </c>
      <c r="BX14" s="50" t="s">
        <v>287</v>
      </c>
      <c r="BY14" s="50" t="s">
        <v>287</v>
      </c>
      <c r="BZ14" s="50" t="s">
        <v>287</v>
      </c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</row>
    <row r="15" spans="1:89" ht="16.5" customHeight="1" thickBot="1">
      <c r="A15" s="49">
        <v>46086.393310185187</v>
      </c>
      <c r="B15" s="50" t="s">
        <v>35</v>
      </c>
      <c r="C15" s="50" t="s">
        <v>45</v>
      </c>
      <c r="D15" s="50" t="s">
        <v>369</v>
      </c>
      <c r="E15" s="50" t="s">
        <v>285</v>
      </c>
      <c r="F15" s="50" t="s">
        <v>286</v>
      </c>
      <c r="G15" s="50" t="s">
        <v>73</v>
      </c>
      <c r="H15" s="50" t="s">
        <v>309</v>
      </c>
      <c r="I15" s="50" t="s">
        <v>91</v>
      </c>
      <c r="J15" s="50" t="s">
        <v>286</v>
      </c>
      <c r="K15" s="50" t="s">
        <v>291</v>
      </c>
      <c r="L15" s="50" t="s">
        <v>286</v>
      </c>
      <c r="M15" s="50" t="s">
        <v>351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6</v>
      </c>
      <c r="AH15" s="111">
        <v>5</v>
      </c>
      <c r="AI15" s="111">
        <v>5</v>
      </c>
      <c r="AJ15" s="111">
        <v>5</v>
      </c>
      <c r="AK15" s="111">
        <v>6</v>
      </c>
      <c r="AL15" s="50" t="s">
        <v>200</v>
      </c>
      <c r="AM15" s="50" t="s">
        <v>199</v>
      </c>
      <c r="AN15" s="50" t="s">
        <v>202</v>
      </c>
      <c r="AO15" s="50" t="s">
        <v>202</v>
      </c>
      <c r="AP15" s="50" t="s">
        <v>199</v>
      </c>
      <c r="AQ15" s="50" t="s">
        <v>202</v>
      </c>
      <c r="AR15" s="50" t="s">
        <v>202</v>
      </c>
      <c r="AS15" s="50" t="s">
        <v>202</v>
      </c>
      <c r="AT15" s="50" t="s">
        <v>371</v>
      </c>
      <c r="AU15" s="50" t="s">
        <v>479</v>
      </c>
      <c r="AV15" s="50" t="s">
        <v>91</v>
      </c>
      <c r="AW15" s="50" t="s">
        <v>286</v>
      </c>
      <c r="AX15" s="50" t="s">
        <v>287</v>
      </c>
      <c r="AY15" s="50" t="s">
        <v>476</v>
      </c>
      <c r="AZ15" s="111">
        <v>5</v>
      </c>
      <c r="BA15" s="50" t="s">
        <v>288</v>
      </c>
      <c r="BB15" s="50" t="s">
        <v>350</v>
      </c>
      <c r="BC15" s="50" t="s">
        <v>604</v>
      </c>
      <c r="BD15" s="50" t="s">
        <v>288</v>
      </c>
      <c r="BE15" s="50" t="s">
        <v>287</v>
      </c>
      <c r="BF15" s="50" t="s">
        <v>286</v>
      </c>
      <c r="BG15" s="50" t="s">
        <v>348</v>
      </c>
      <c r="BH15" s="50" t="s">
        <v>486</v>
      </c>
      <c r="BI15" s="50"/>
      <c r="BJ15" s="111">
        <v>5</v>
      </c>
      <c r="BK15" s="50"/>
      <c r="BL15" s="50" t="s">
        <v>287</v>
      </c>
      <c r="BM15" s="50" t="s">
        <v>287</v>
      </c>
      <c r="BN15" s="50" t="s">
        <v>287</v>
      </c>
      <c r="BO15" s="50" t="s">
        <v>287</v>
      </c>
      <c r="BP15" s="50" t="s">
        <v>287</v>
      </c>
      <c r="BQ15" s="50"/>
      <c r="BR15" s="111">
        <v>5</v>
      </c>
      <c r="BS15" s="50" t="s">
        <v>287</v>
      </c>
      <c r="BT15" s="50"/>
      <c r="BU15" s="111">
        <v>5</v>
      </c>
      <c r="BV15" s="50" t="s">
        <v>287</v>
      </c>
      <c r="BW15" s="50" t="s">
        <v>287</v>
      </c>
      <c r="BX15" s="50" t="s">
        <v>287</v>
      </c>
      <c r="BY15" s="50" t="s">
        <v>287</v>
      </c>
      <c r="BZ15" s="50" t="s">
        <v>287</v>
      </c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</row>
    <row r="16" spans="1:89" ht="16.5" customHeight="1" thickBot="1">
      <c r="A16" s="49">
        <v>46086.48238425926</v>
      </c>
      <c r="B16" s="50" t="s">
        <v>40</v>
      </c>
      <c r="C16" s="50" t="s">
        <v>46</v>
      </c>
      <c r="D16" s="50" t="s">
        <v>374</v>
      </c>
      <c r="E16" s="50" t="s">
        <v>61</v>
      </c>
      <c r="F16" s="50" t="s">
        <v>286</v>
      </c>
      <c r="G16" s="50" t="s">
        <v>74</v>
      </c>
      <c r="H16" s="50" t="s">
        <v>302</v>
      </c>
      <c r="I16" s="50" t="s">
        <v>81</v>
      </c>
      <c r="J16" s="50" t="s">
        <v>286</v>
      </c>
      <c r="K16" s="50" t="s">
        <v>291</v>
      </c>
      <c r="L16" s="50" t="s">
        <v>286</v>
      </c>
      <c r="M16" s="50" t="s">
        <v>141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6</v>
      </c>
      <c r="AH16" s="111">
        <v>5</v>
      </c>
      <c r="AI16" s="111">
        <v>5</v>
      </c>
      <c r="AJ16" s="111">
        <v>5</v>
      </c>
      <c r="AK16" s="111">
        <v>6</v>
      </c>
      <c r="AL16" s="50" t="s">
        <v>200</v>
      </c>
      <c r="AM16" s="50" t="s">
        <v>200</v>
      </c>
      <c r="AN16" s="50" t="s">
        <v>202</v>
      </c>
      <c r="AO16" s="50" t="s">
        <v>202</v>
      </c>
      <c r="AP16" s="50" t="s">
        <v>200</v>
      </c>
      <c r="AQ16" s="50" t="s">
        <v>201</v>
      </c>
      <c r="AR16" s="50" t="s">
        <v>200</v>
      </c>
      <c r="AS16" s="50" t="s">
        <v>202</v>
      </c>
      <c r="AT16" s="50" t="s">
        <v>371</v>
      </c>
      <c r="AU16" s="50" t="s">
        <v>479</v>
      </c>
      <c r="AV16" s="50" t="s">
        <v>91</v>
      </c>
      <c r="AW16" s="50" t="s">
        <v>286</v>
      </c>
      <c r="AX16" s="50" t="s">
        <v>287</v>
      </c>
      <c r="AY16" s="50" t="s">
        <v>484</v>
      </c>
      <c r="AZ16" s="111">
        <v>5</v>
      </c>
      <c r="BA16" s="50" t="s">
        <v>288</v>
      </c>
      <c r="BB16" s="50" t="s">
        <v>461</v>
      </c>
      <c r="BC16" s="50" t="s">
        <v>294</v>
      </c>
      <c r="BD16" s="50" t="s">
        <v>288</v>
      </c>
      <c r="BE16" s="50" t="s">
        <v>287</v>
      </c>
      <c r="BF16" s="50" t="s">
        <v>286</v>
      </c>
      <c r="BG16" s="50" t="s">
        <v>348</v>
      </c>
      <c r="BH16" s="50" t="s">
        <v>486</v>
      </c>
      <c r="BI16" s="50"/>
      <c r="BJ16" s="111">
        <v>5</v>
      </c>
      <c r="BK16" s="50"/>
      <c r="BL16" s="50" t="s">
        <v>287</v>
      </c>
      <c r="BM16" s="50" t="s">
        <v>287</v>
      </c>
      <c r="BN16" s="50" t="s">
        <v>287</v>
      </c>
      <c r="BO16" s="50" t="s">
        <v>287</v>
      </c>
      <c r="BP16" s="50" t="s">
        <v>287</v>
      </c>
      <c r="BQ16" s="50"/>
      <c r="BR16" s="111">
        <v>5</v>
      </c>
      <c r="BS16" s="50" t="s">
        <v>287</v>
      </c>
      <c r="BT16" s="50"/>
      <c r="BU16" s="111">
        <v>6</v>
      </c>
      <c r="BV16" s="50" t="s">
        <v>287</v>
      </c>
      <c r="BW16" s="50" t="s">
        <v>287</v>
      </c>
      <c r="BX16" s="50" t="s">
        <v>287</v>
      </c>
      <c r="BY16" s="50" t="s">
        <v>287</v>
      </c>
      <c r="BZ16" s="50" t="s">
        <v>287</v>
      </c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</row>
    <row r="17" spans="1:89" ht="16.5" customHeight="1" thickBot="1">
      <c r="A17" s="49">
        <v>46086.634166666663</v>
      </c>
      <c r="B17" s="50" t="s">
        <v>37</v>
      </c>
      <c r="C17" s="50" t="s">
        <v>45</v>
      </c>
      <c r="D17" s="50" t="s">
        <v>374</v>
      </c>
      <c r="E17" s="50" t="s">
        <v>61</v>
      </c>
      <c r="F17" s="50" t="s">
        <v>286</v>
      </c>
      <c r="G17" s="50" t="s">
        <v>292</v>
      </c>
      <c r="H17" s="50" t="s">
        <v>324</v>
      </c>
      <c r="I17" s="50" t="s">
        <v>91</v>
      </c>
      <c r="J17" s="50" t="s">
        <v>286</v>
      </c>
      <c r="K17" s="50" t="s">
        <v>291</v>
      </c>
      <c r="L17" s="50" t="s">
        <v>286</v>
      </c>
      <c r="M17" s="50" t="s">
        <v>146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6</v>
      </c>
      <c r="AH17" s="111">
        <v>5</v>
      </c>
      <c r="AI17" s="111">
        <v>5</v>
      </c>
      <c r="AJ17" s="111">
        <v>5</v>
      </c>
      <c r="AK17" s="111">
        <v>5</v>
      </c>
      <c r="AL17" s="50" t="s">
        <v>199</v>
      </c>
      <c r="AM17" s="50" t="s">
        <v>199</v>
      </c>
      <c r="AN17" s="50" t="s">
        <v>202</v>
      </c>
      <c r="AO17" s="50" t="s">
        <v>202</v>
      </c>
      <c r="AP17" s="50" t="s">
        <v>199</v>
      </c>
      <c r="AQ17" s="50" t="s">
        <v>199</v>
      </c>
      <c r="AR17" s="50" t="s">
        <v>199</v>
      </c>
      <c r="AS17" s="50" t="s">
        <v>202</v>
      </c>
      <c r="AT17" s="50" t="s">
        <v>371</v>
      </c>
      <c r="AU17" s="50" t="s">
        <v>480</v>
      </c>
      <c r="AV17" s="50" t="s">
        <v>91</v>
      </c>
      <c r="AW17" s="50" t="s">
        <v>286</v>
      </c>
      <c r="AX17" s="50" t="s">
        <v>287</v>
      </c>
      <c r="AY17" s="50" t="s">
        <v>485</v>
      </c>
      <c r="AZ17" s="111">
        <v>5</v>
      </c>
      <c r="BA17" s="50" t="s">
        <v>288</v>
      </c>
      <c r="BB17" s="50" t="s">
        <v>350</v>
      </c>
      <c r="BC17" s="50" t="s">
        <v>294</v>
      </c>
      <c r="BD17" s="50" t="s">
        <v>288</v>
      </c>
      <c r="BE17" s="50" t="s">
        <v>287</v>
      </c>
      <c r="BF17" s="50" t="s">
        <v>286</v>
      </c>
      <c r="BG17" s="50" t="s">
        <v>348</v>
      </c>
      <c r="BH17" s="50" t="s">
        <v>486</v>
      </c>
      <c r="BI17" s="50"/>
      <c r="BJ17" s="111">
        <v>5</v>
      </c>
      <c r="BK17" s="50"/>
      <c r="BL17" s="50" t="s">
        <v>287</v>
      </c>
      <c r="BM17" s="50" t="s">
        <v>287</v>
      </c>
      <c r="BN17" s="50" t="s">
        <v>287</v>
      </c>
      <c r="BO17" s="50" t="s">
        <v>287</v>
      </c>
      <c r="BP17" s="50" t="s">
        <v>287</v>
      </c>
      <c r="BQ17" s="50"/>
      <c r="BR17" s="111">
        <v>5</v>
      </c>
      <c r="BS17" s="50" t="s">
        <v>287</v>
      </c>
      <c r="BT17" s="50"/>
      <c r="BU17" s="111">
        <v>5</v>
      </c>
      <c r="BV17" s="50" t="s">
        <v>287</v>
      </c>
      <c r="BW17" s="50" t="s">
        <v>287</v>
      </c>
      <c r="BX17" s="50" t="s">
        <v>287</v>
      </c>
      <c r="BY17" s="50" t="s">
        <v>287</v>
      </c>
      <c r="BZ17" s="50" t="s">
        <v>287</v>
      </c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</row>
    <row r="18" spans="1:89" ht="16.5" customHeight="1" thickBot="1">
      <c r="A18" s="49">
        <v>46090.430752314816</v>
      </c>
      <c r="B18" s="50" t="s">
        <v>40</v>
      </c>
      <c r="C18" s="50" t="s">
        <v>46</v>
      </c>
      <c r="D18" s="50" t="s">
        <v>369</v>
      </c>
      <c r="E18" s="50" t="s">
        <v>65</v>
      </c>
      <c r="F18" s="50" t="s">
        <v>286</v>
      </c>
      <c r="G18" s="50" t="s">
        <v>73</v>
      </c>
      <c r="H18" s="50" t="s">
        <v>349</v>
      </c>
      <c r="I18" s="50" t="s">
        <v>91</v>
      </c>
      <c r="J18" s="50" t="s">
        <v>286</v>
      </c>
      <c r="K18" s="50" t="s">
        <v>291</v>
      </c>
      <c r="L18" s="50" t="s">
        <v>286</v>
      </c>
      <c r="M18" s="50" t="s">
        <v>352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6</v>
      </c>
      <c r="AH18" s="111">
        <v>5</v>
      </c>
      <c r="AI18" s="111">
        <v>5</v>
      </c>
      <c r="AJ18" s="111">
        <v>5</v>
      </c>
      <c r="AK18" s="111">
        <v>5</v>
      </c>
      <c r="AL18" s="50" t="s">
        <v>199</v>
      </c>
      <c r="AM18" s="50" t="s">
        <v>199</v>
      </c>
      <c r="AN18" s="50" t="s">
        <v>202</v>
      </c>
      <c r="AO18" s="50" t="s">
        <v>202</v>
      </c>
      <c r="AP18" s="50" t="s">
        <v>199</v>
      </c>
      <c r="AQ18" s="50" t="s">
        <v>199</v>
      </c>
      <c r="AR18" s="50" t="s">
        <v>199</v>
      </c>
      <c r="AS18" s="50" t="s">
        <v>202</v>
      </c>
      <c r="AT18" s="50" t="s">
        <v>371</v>
      </c>
      <c r="AU18" s="50" t="s">
        <v>389</v>
      </c>
      <c r="AV18" s="50" t="s">
        <v>91</v>
      </c>
      <c r="AW18" s="50"/>
      <c r="AX18" s="50" t="s">
        <v>287</v>
      </c>
      <c r="AY18" s="50" t="s">
        <v>476</v>
      </c>
      <c r="AZ18" s="111">
        <v>5</v>
      </c>
      <c r="BA18" s="50" t="s">
        <v>288</v>
      </c>
      <c r="BB18" s="50" t="s">
        <v>350</v>
      </c>
      <c r="BC18" s="50" t="s">
        <v>387</v>
      </c>
      <c r="BD18" s="50" t="s">
        <v>288</v>
      </c>
      <c r="BE18" s="50" t="s">
        <v>287</v>
      </c>
      <c r="BF18" s="50" t="s">
        <v>286</v>
      </c>
      <c r="BG18" s="50" t="s">
        <v>348</v>
      </c>
      <c r="BH18" s="50" t="s">
        <v>486</v>
      </c>
      <c r="BI18" s="50"/>
      <c r="BJ18" s="111">
        <v>5</v>
      </c>
      <c r="BK18" s="50"/>
      <c r="BL18" s="50" t="s">
        <v>287</v>
      </c>
      <c r="BM18" s="50" t="s">
        <v>287</v>
      </c>
      <c r="BN18" s="50" t="s">
        <v>287</v>
      </c>
      <c r="BO18" s="50" t="s">
        <v>287</v>
      </c>
      <c r="BP18" s="50" t="s">
        <v>287</v>
      </c>
      <c r="BQ18" s="50"/>
      <c r="BR18" s="111">
        <v>5</v>
      </c>
      <c r="BS18" s="50" t="s">
        <v>287</v>
      </c>
      <c r="BT18" s="50"/>
      <c r="BU18" s="111">
        <v>5</v>
      </c>
      <c r="BV18" s="50" t="s">
        <v>287</v>
      </c>
      <c r="BW18" s="50" t="s">
        <v>287</v>
      </c>
      <c r="BX18" s="50" t="s">
        <v>287</v>
      </c>
      <c r="BY18" s="50" t="s">
        <v>287</v>
      </c>
      <c r="BZ18" s="50" t="s">
        <v>287</v>
      </c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</row>
    <row r="19" spans="1:89" ht="16.5" customHeight="1" thickBot="1">
      <c r="A19" s="49">
        <v>46090.43372685185</v>
      </c>
      <c r="B19" s="50" t="s">
        <v>40</v>
      </c>
      <c r="C19" s="50" t="s">
        <v>46</v>
      </c>
      <c r="D19" s="50" t="s">
        <v>374</v>
      </c>
      <c r="E19" s="50" t="s">
        <v>61</v>
      </c>
      <c r="F19" s="50" t="s">
        <v>286</v>
      </c>
      <c r="G19" s="50" t="s">
        <v>74</v>
      </c>
      <c r="H19" s="50" t="s">
        <v>429</v>
      </c>
      <c r="I19" s="50" t="s">
        <v>91</v>
      </c>
      <c r="J19" s="50" t="s">
        <v>286</v>
      </c>
      <c r="K19" s="50" t="s">
        <v>291</v>
      </c>
      <c r="L19" s="50" t="s">
        <v>286</v>
      </c>
      <c r="M19" s="50" t="s">
        <v>352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6</v>
      </c>
      <c r="AH19" s="111">
        <v>5</v>
      </c>
      <c r="AI19" s="111">
        <v>5</v>
      </c>
      <c r="AJ19" s="111">
        <v>5</v>
      </c>
      <c r="AK19" s="111">
        <v>6</v>
      </c>
      <c r="AL19" s="50" t="s">
        <v>200</v>
      </c>
      <c r="AM19" s="50" t="s">
        <v>199</v>
      </c>
      <c r="AN19" s="50" t="s">
        <v>202</v>
      </c>
      <c r="AO19" s="50" t="s">
        <v>202</v>
      </c>
      <c r="AP19" s="50" t="s">
        <v>200</v>
      </c>
      <c r="AQ19" s="50" t="s">
        <v>199</v>
      </c>
      <c r="AR19" s="50" t="s">
        <v>199</v>
      </c>
      <c r="AS19" s="50" t="s">
        <v>202</v>
      </c>
      <c r="AT19" s="50" t="s">
        <v>371</v>
      </c>
      <c r="AU19" s="50" t="s">
        <v>480</v>
      </c>
      <c r="AV19" s="50" t="s">
        <v>91</v>
      </c>
      <c r="AW19" s="50" t="s">
        <v>286</v>
      </c>
      <c r="AX19" s="50" t="s">
        <v>287</v>
      </c>
      <c r="AY19" s="50" t="s">
        <v>476</v>
      </c>
      <c r="AZ19" s="111">
        <v>5</v>
      </c>
      <c r="BA19" s="50" t="s">
        <v>288</v>
      </c>
      <c r="BB19" s="50" t="s">
        <v>350</v>
      </c>
      <c r="BC19" s="50" t="s">
        <v>387</v>
      </c>
      <c r="BD19" s="50" t="s">
        <v>288</v>
      </c>
      <c r="BE19" s="50" t="s">
        <v>287</v>
      </c>
      <c r="BF19" s="50" t="s">
        <v>286</v>
      </c>
      <c r="BG19" s="50" t="s">
        <v>348</v>
      </c>
      <c r="BH19" s="50" t="s">
        <v>486</v>
      </c>
      <c r="BI19" s="50"/>
      <c r="BJ19" s="111">
        <v>5</v>
      </c>
      <c r="BK19" s="50"/>
      <c r="BL19" s="50" t="s">
        <v>287</v>
      </c>
      <c r="BM19" s="50" t="s">
        <v>287</v>
      </c>
      <c r="BN19" s="50" t="s">
        <v>287</v>
      </c>
      <c r="BO19" s="50" t="s">
        <v>287</v>
      </c>
      <c r="BP19" s="50" t="s">
        <v>287</v>
      </c>
      <c r="BQ19" s="50"/>
      <c r="BR19" s="111">
        <v>5</v>
      </c>
      <c r="BS19" s="50" t="s">
        <v>287</v>
      </c>
      <c r="BT19" s="50"/>
      <c r="BU19" s="111">
        <v>5</v>
      </c>
      <c r="BV19" s="50" t="s">
        <v>287</v>
      </c>
      <c r="BW19" s="50" t="s">
        <v>287</v>
      </c>
      <c r="BX19" s="50" t="s">
        <v>287</v>
      </c>
      <c r="BY19" s="50" t="s">
        <v>287</v>
      </c>
      <c r="BZ19" s="50" t="s">
        <v>287</v>
      </c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</row>
    <row r="20" spans="1:89" ht="16.5" customHeight="1" thickBot="1">
      <c r="A20" s="49">
        <v>46090.436990740738</v>
      </c>
      <c r="B20" s="50" t="s">
        <v>40</v>
      </c>
      <c r="C20" s="50" t="s">
        <v>45</v>
      </c>
      <c r="D20" s="50" t="s">
        <v>369</v>
      </c>
      <c r="E20" s="50" t="s">
        <v>285</v>
      </c>
      <c r="F20" s="50" t="s">
        <v>286</v>
      </c>
      <c r="G20" s="50" t="s">
        <v>73</v>
      </c>
      <c r="H20" s="50" t="s">
        <v>605</v>
      </c>
      <c r="I20" s="50" t="s">
        <v>81</v>
      </c>
      <c r="J20" s="50" t="s">
        <v>286</v>
      </c>
      <c r="K20" s="50" t="s">
        <v>287</v>
      </c>
      <c r="L20" s="50" t="s">
        <v>606</v>
      </c>
      <c r="M20" s="50" t="s">
        <v>352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6</v>
      </c>
      <c r="AH20" s="111">
        <v>5</v>
      </c>
      <c r="AI20" s="111">
        <v>5</v>
      </c>
      <c r="AJ20" s="111">
        <v>5</v>
      </c>
      <c r="AK20" s="111">
        <v>5</v>
      </c>
      <c r="AL20" s="50" t="s">
        <v>200</v>
      </c>
      <c r="AM20" s="50" t="s">
        <v>200</v>
      </c>
      <c r="AN20" s="50" t="s">
        <v>202</v>
      </c>
      <c r="AO20" s="50" t="s">
        <v>202</v>
      </c>
      <c r="AP20" s="50" t="s">
        <v>200</v>
      </c>
      <c r="AQ20" s="50" t="s">
        <v>202</v>
      </c>
      <c r="AR20" s="50" t="s">
        <v>202</v>
      </c>
      <c r="AS20" s="50" t="s">
        <v>202</v>
      </c>
      <c r="AT20" s="50" t="s">
        <v>371</v>
      </c>
      <c r="AU20" s="50" t="s">
        <v>286</v>
      </c>
      <c r="AV20" s="50" t="s">
        <v>91</v>
      </c>
      <c r="AW20" s="50" t="s">
        <v>286</v>
      </c>
      <c r="AX20" s="50" t="s">
        <v>287</v>
      </c>
      <c r="AY20" s="50" t="s">
        <v>476</v>
      </c>
      <c r="AZ20" s="111">
        <v>5</v>
      </c>
      <c r="BA20" s="50" t="s">
        <v>288</v>
      </c>
      <c r="BB20" s="50" t="s">
        <v>350</v>
      </c>
      <c r="BC20" s="50" t="s">
        <v>387</v>
      </c>
      <c r="BD20" s="50" t="s">
        <v>288</v>
      </c>
      <c r="BE20" s="50" t="s">
        <v>287</v>
      </c>
      <c r="BF20" s="50" t="s">
        <v>286</v>
      </c>
      <c r="BG20" s="50" t="s">
        <v>348</v>
      </c>
      <c r="BH20" s="50" t="s">
        <v>486</v>
      </c>
      <c r="BI20" s="50"/>
      <c r="BJ20" s="111">
        <v>5</v>
      </c>
      <c r="BK20" s="50"/>
      <c r="BL20" s="50" t="s">
        <v>287</v>
      </c>
      <c r="BM20" s="50" t="s">
        <v>287</v>
      </c>
      <c r="BN20" s="50" t="s">
        <v>287</v>
      </c>
      <c r="BO20" s="50" t="s">
        <v>287</v>
      </c>
      <c r="BP20" s="50" t="s">
        <v>287</v>
      </c>
      <c r="BQ20" s="50"/>
      <c r="BR20" s="111">
        <v>5</v>
      </c>
      <c r="BS20" s="50" t="s">
        <v>287</v>
      </c>
      <c r="BT20" s="50"/>
      <c r="BU20" s="111">
        <v>5</v>
      </c>
      <c r="BV20" s="50" t="s">
        <v>287</v>
      </c>
      <c r="BW20" s="50" t="s">
        <v>287</v>
      </c>
      <c r="BX20" s="50" t="s">
        <v>287</v>
      </c>
      <c r="BY20" s="50" t="s">
        <v>287</v>
      </c>
      <c r="BZ20" s="50" t="s">
        <v>287</v>
      </c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</row>
    <row r="21" spans="1:89" ht="16.5" customHeight="1" thickBot="1">
      <c r="A21" s="49">
        <v>46090.440972222219</v>
      </c>
      <c r="B21" s="50" t="s">
        <v>40</v>
      </c>
      <c r="C21" s="50" t="s">
        <v>45</v>
      </c>
      <c r="D21" s="50" t="s">
        <v>385</v>
      </c>
      <c r="E21" s="50" t="s">
        <v>340</v>
      </c>
      <c r="F21" s="50" t="s">
        <v>360</v>
      </c>
      <c r="G21" s="50" t="s">
        <v>73</v>
      </c>
      <c r="H21" s="50" t="s">
        <v>607</v>
      </c>
      <c r="I21" s="50" t="s">
        <v>81</v>
      </c>
      <c r="J21" s="50" t="s">
        <v>286</v>
      </c>
      <c r="K21" s="50" t="s">
        <v>287</v>
      </c>
      <c r="L21" s="50" t="s">
        <v>608</v>
      </c>
      <c r="M21" s="50" t="s">
        <v>352</v>
      </c>
      <c r="N21" s="111">
        <v>4</v>
      </c>
      <c r="O21" s="111">
        <v>4</v>
      </c>
      <c r="P21" s="111">
        <v>4</v>
      </c>
      <c r="Q21" s="111">
        <v>4</v>
      </c>
      <c r="R21" s="111">
        <v>4</v>
      </c>
      <c r="S21" s="111">
        <v>4</v>
      </c>
      <c r="T21" s="111">
        <v>4</v>
      </c>
      <c r="U21" s="111">
        <v>4</v>
      </c>
      <c r="V21" s="111">
        <v>4</v>
      </c>
      <c r="W21" s="111">
        <v>4</v>
      </c>
      <c r="X21" s="111">
        <v>4</v>
      </c>
      <c r="Y21" s="111">
        <v>4</v>
      </c>
      <c r="Z21" s="111">
        <v>3</v>
      </c>
      <c r="AA21" s="111">
        <v>4</v>
      </c>
      <c r="AB21" s="111">
        <v>3</v>
      </c>
      <c r="AC21" s="111">
        <v>5</v>
      </c>
      <c r="AD21" s="111">
        <v>5</v>
      </c>
      <c r="AE21" s="111">
        <v>5</v>
      </c>
      <c r="AF21" s="111">
        <v>5</v>
      </c>
      <c r="AG21" s="111">
        <v>6</v>
      </c>
      <c r="AH21" s="111">
        <v>5</v>
      </c>
      <c r="AI21" s="111">
        <v>5</v>
      </c>
      <c r="AJ21" s="111">
        <v>5</v>
      </c>
      <c r="AK21" s="111">
        <v>6</v>
      </c>
      <c r="AL21" s="50" t="s">
        <v>199</v>
      </c>
      <c r="AM21" s="50" t="s">
        <v>199</v>
      </c>
      <c r="AN21" s="50" t="s">
        <v>202</v>
      </c>
      <c r="AO21" s="50" t="s">
        <v>202</v>
      </c>
      <c r="AP21" s="50" t="s">
        <v>199</v>
      </c>
      <c r="AQ21" s="50" t="s">
        <v>200</v>
      </c>
      <c r="AR21" s="50" t="s">
        <v>202</v>
      </c>
      <c r="AS21" s="50" t="s">
        <v>202</v>
      </c>
      <c r="AT21" s="50" t="s">
        <v>371</v>
      </c>
      <c r="AU21" s="50" t="s">
        <v>286</v>
      </c>
      <c r="AV21" s="50" t="s">
        <v>91</v>
      </c>
      <c r="AW21" s="50" t="s">
        <v>286</v>
      </c>
      <c r="AX21" s="50" t="s">
        <v>287</v>
      </c>
      <c r="AY21" s="50" t="s">
        <v>476</v>
      </c>
      <c r="AZ21" s="111">
        <v>5</v>
      </c>
      <c r="BA21" s="50" t="s">
        <v>288</v>
      </c>
      <c r="BB21" s="50" t="s">
        <v>350</v>
      </c>
      <c r="BC21" s="50" t="s">
        <v>387</v>
      </c>
      <c r="BD21" s="50" t="s">
        <v>288</v>
      </c>
      <c r="BE21" s="50" t="s">
        <v>287</v>
      </c>
      <c r="BF21" s="50" t="s">
        <v>286</v>
      </c>
      <c r="BG21" s="50" t="s">
        <v>348</v>
      </c>
      <c r="BH21" s="50" t="s">
        <v>486</v>
      </c>
      <c r="BI21" s="50"/>
      <c r="BJ21" s="111">
        <v>3</v>
      </c>
      <c r="BK21" s="50"/>
      <c r="BL21" s="50" t="s">
        <v>287</v>
      </c>
      <c r="BM21" s="50" t="s">
        <v>287</v>
      </c>
      <c r="BN21" s="50" t="s">
        <v>287</v>
      </c>
      <c r="BO21" s="50" t="s">
        <v>287</v>
      </c>
      <c r="BP21" s="50" t="s">
        <v>287</v>
      </c>
      <c r="BQ21" s="50"/>
      <c r="BR21" s="111">
        <v>1</v>
      </c>
      <c r="BS21" s="50" t="s">
        <v>287</v>
      </c>
      <c r="BT21" s="50"/>
      <c r="BU21" s="111">
        <v>5</v>
      </c>
      <c r="BV21" s="50" t="s">
        <v>287</v>
      </c>
      <c r="BW21" s="50" t="s">
        <v>287</v>
      </c>
      <c r="BX21" s="50" t="s">
        <v>287</v>
      </c>
      <c r="BY21" s="50" t="s">
        <v>287</v>
      </c>
      <c r="BZ21" s="50" t="s">
        <v>287</v>
      </c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</row>
    <row r="22" spans="1:89" ht="16.5" customHeight="1" thickBot="1">
      <c r="A22" s="49">
        <v>46090.446504629632</v>
      </c>
      <c r="B22" s="50" t="s">
        <v>40</v>
      </c>
      <c r="C22" s="50" t="s">
        <v>45</v>
      </c>
      <c r="D22" s="50" t="s">
        <v>374</v>
      </c>
      <c r="E22" s="50" t="s">
        <v>61</v>
      </c>
      <c r="F22" s="50" t="s">
        <v>286</v>
      </c>
      <c r="G22" s="50" t="s">
        <v>73</v>
      </c>
      <c r="H22" s="50" t="s">
        <v>468</v>
      </c>
      <c r="I22" s="50" t="s">
        <v>81</v>
      </c>
      <c r="J22" s="50" t="s">
        <v>286</v>
      </c>
      <c r="K22" s="50" t="s">
        <v>287</v>
      </c>
      <c r="L22" s="50" t="s">
        <v>606</v>
      </c>
      <c r="M22" s="50" t="s">
        <v>352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6</v>
      </c>
      <c r="AH22" s="111">
        <v>5</v>
      </c>
      <c r="AI22" s="111">
        <v>5</v>
      </c>
      <c r="AJ22" s="111">
        <v>5</v>
      </c>
      <c r="AK22" s="111">
        <v>5</v>
      </c>
      <c r="AL22" s="50" t="s">
        <v>200</v>
      </c>
      <c r="AM22" s="50" t="s">
        <v>199</v>
      </c>
      <c r="AN22" s="50" t="s">
        <v>202</v>
      </c>
      <c r="AO22" s="50" t="s">
        <v>202</v>
      </c>
      <c r="AP22" s="50" t="s">
        <v>199</v>
      </c>
      <c r="AQ22" s="50" t="s">
        <v>199</v>
      </c>
      <c r="AR22" s="50" t="s">
        <v>199</v>
      </c>
      <c r="AS22" s="50" t="s">
        <v>202</v>
      </c>
      <c r="AT22" s="50" t="s">
        <v>371</v>
      </c>
      <c r="AU22" s="50" t="s">
        <v>318</v>
      </c>
      <c r="AV22" s="50" t="s">
        <v>91</v>
      </c>
      <c r="AW22" s="50" t="s">
        <v>286</v>
      </c>
      <c r="AX22" s="50" t="s">
        <v>287</v>
      </c>
      <c r="AY22" s="50" t="s">
        <v>476</v>
      </c>
      <c r="AZ22" s="111">
        <v>5</v>
      </c>
      <c r="BA22" s="50" t="s">
        <v>288</v>
      </c>
      <c r="BB22" s="50" t="s">
        <v>350</v>
      </c>
      <c r="BC22" s="50" t="s">
        <v>387</v>
      </c>
      <c r="BD22" s="50" t="s">
        <v>288</v>
      </c>
      <c r="BE22" s="50" t="s">
        <v>287</v>
      </c>
      <c r="BF22" s="50" t="s">
        <v>286</v>
      </c>
      <c r="BG22" s="50" t="s">
        <v>348</v>
      </c>
      <c r="BH22" s="50" t="s">
        <v>486</v>
      </c>
      <c r="BI22" s="50"/>
      <c r="BJ22" s="111">
        <v>5</v>
      </c>
      <c r="BK22" s="50"/>
      <c r="BL22" s="50" t="s">
        <v>287</v>
      </c>
      <c r="BM22" s="50" t="s">
        <v>287</v>
      </c>
      <c r="BN22" s="50" t="s">
        <v>287</v>
      </c>
      <c r="BO22" s="50" t="s">
        <v>287</v>
      </c>
      <c r="BP22" s="50" t="s">
        <v>287</v>
      </c>
      <c r="BQ22" s="50"/>
      <c r="BR22" s="111">
        <v>5</v>
      </c>
      <c r="BS22" s="50" t="s">
        <v>287</v>
      </c>
      <c r="BT22" s="50"/>
      <c r="BU22" s="111">
        <v>5</v>
      </c>
      <c r="BV22" s="50" t="s">
        <v>91</v>
      </c>
      <c r="BW22" s="50" t="s">
        <v>287</v>
      </c>
      <c r="BX22" s="50" t="s">
        <v>287</v>
      </c>
      <c r="BY22" s="50" t="s">
        <v>287</v>
      </c>
      <c r="BZ22" s="50" t="s">
        <v>287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</row>
    <row r="23" spans="1:89" ht="16.5" customHeight="1" thickBot="1">
      <c r="A23" s="49">
        <v>46090.45107638889</v>
      </c>
      <c r="B23" s="50" t="s">
        <v>39</v>
      </c>
      <c r="C23" s="50" t="s">
        <v>45</v>
      </c>
      <c r="D23" s="50" t="s">
        <v>374</v>
      </c>
      <c r="E23" s="50" t="s">
        <v>63</v>
      </c>
      <c r="F23" s="50" t="s">
        <v>286</v>
      </c>
      <c r="G23" s="50" t="s">
        <v>73</v>
      </c>
      <c r="H23" s="50" t="s">
        <v>474</v>
      </c>
      <c r="I23" s="50" t="s">
        <v>91</v>
      </c>
      <c r="J23" s="50" t="s">
        <v>286</v>
      </c>
      <c r="K23" s="50" t="s">
        <v>291</v>
      </c>
      <c r="L23" s="50" t="s">
        <v>286</v>
      </c>
      <c r="M23" s="50" t="s">
        <v>352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6</v>
      </c>
      <c r="AH23" s="111">
        <v>5</v>
      </c>
      <c r="AI23" s="111">
        <v>5</v>
      </c>
      <c r="AJ23" s="111">
        <v>5</v>
      </c>
      <c r="AK23" s="111">
        <v>5</v>
      </c>
      <c r="AL23" s="50" t="s">
        <v>200</v>
      </c>
      <c r="AM23" s="50" t="s">
        <v>200</v>
      </c>
      <c r="AN23" s="50" t="s">
        <v>202</v>
      </c>
      <c r="AO23" s="50" t="s">
        <v>202</v>
      </c>
      <c r="AP23" s="50" t="s">
        <v>200</v>
      </c>
      <c r="AQ23" s="50" t="s">
        <v>200</v>
      </c>
      <c r="AR23" s="50" t="s">
        <v>202</v>
      </c>
      <c r="AS23" s="50" t="s">
        <v>202</v>
      </c>
      <c r="AT23" s="50" t="s">
        <v>371</v>
      </c>
      <c r="AU23" s="50" t="s">
        <v>286</v>
      </c>
      <c r="AV23" s="50" t="s">
        <v>91</v>
      </c>
      <c r="AW23" s="50" t="s">
        <v>286</v>
      </c>
      <c r="AX23" s="50" t="s">
        <v>287</v>
      </c>
      <c r="AY23" s="50" t="s">
        <v>476</v>
      </c>
      <c r="AZ23" s="111">
        <v>5</v>
      </c>
      <c r="BA23" s="50" t="s">
        <v>288</v>
      </c>
      <c r="BB23" s="50" t="s">
        <v>350</v>
      </c>
      <c r="BC23" s="50" t="s">
        <v>387</v>
      </c>
      <c r="BD23" s="50" t="s">
        <v>288</v>
      </c>
      <c r="BE23" s="50" t="s">
        <v>287</v>
      </c>
      <c r="BF23" s="50" t="s">
        <v>286</v>
      </c>
      <c r="BG23" s="50" t="s">
        <v>348</v>
      </c>
      <c r="BH23" s="50" t="s">
        <v>486</v>
      </c>
      <c r="BI23" s="50"/>
      <c r="BJ23" s="111">
        <v>5</v>
      </c>
      <c r="BK23" s="50"/>
      <c r="BL23" s="50" t="s">
        <v>287</v>
      </c>
      <c r="BM23" s="50" t="s">
        <v>287</v>
      </c>
      <c r="BN23" s="50" t="s">
        <v>287</v>
      </c>
      <c r="BO23" s="50" t="s">
        <v>287</v>
      </c>
      <c r="BP23" s="50" t="s">
        <v>287</v>
      </c>
      <c r="BQ23" s="50"/>
      <c r="BR23" s="111">
        <v>5</v>
      </c>
      <c r="BS23" s="50" t="s">
        <v>287</v>
      </c>
      <c r="BT23" s="50"/>
      <c r="BU23" s="111">
        <v>5</v>
      </c>
      <c r="BV23" s="50" t="s">
        <v>287</v>
      </c>
      <c r="BW23" s="50" t="s">
        <v>287</v>
      </c>
      <c r="BX23" s="50" t="s">
        <v>287</v>
      </c>
      <c r="BY23" s="50" t="s">
        <v>287</v>
      </c>
      <c r="BZ23" s="50" t="s">
        <v>287</v>
      </c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</row>
    <row r="24" spans="1:89" ht="16.5" customHeight="1" thickBot="1">
      <c r="A24" s="49">
        <v>46090.453310185185</v>
      </c>
      <c r="B24" s="50" t="s">
        <v>40</v>
      </c>
      <c r="C24" s="50" t="s">
        <v>45</v>
      </c>
      <c r="D24" s="50" t="s">
        <v>369</v>
      </c>
      <c r="E24" s="50" t="s">
        <v>61</v>
      </c>
      <c r="F24" s="50" t="s">
        <v>286</v>
      </c>
      <c r="G24" s="50" t="s">
        <v>73</v>
      </c>
      <c r="H24" s="50" t="s">
        <v>609</v>
      </c>
      <c r="I24" s="50" t="s">
        <v>81</v>
      </c>
      <c r="J24" s="50" t="s">
        <v>286</v>
      </c>
      <c r="K24" s="50" t="s">
        <v>287</v>
      </c>
      <c r="L24" s="50" t="s">
        <v>608</v>
      </c>
      <c r="M24" s="50" t="s">
        <v>352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4</v>
      </c>
      <c r="AA24" s="111">
        <v>4</v>
      </c>
      <c r="AB24" s="111">
        <v>4</v>
      </c>
      <c r="AC24" s="111">
        <v>4</v>
      </c>
      <c r="AD24" s="111">
        <v>4</v>
      </c>
      <c r="AE24" s="111">
        <v>4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6</v>
      </c>
      <c r="AL24" s="50" t="s">
        <v>200</v>
      </c>
      <c r="AM24" s="50" t="s">
        <v>199</v>
      </c>
      <c r="AN24" s="50" t="s">
        <v>202</v>
      </c>
      <c r="AO24" s="50" t="s">
        <v>202</v>
      </c>
      <c r="AP24" s="50" t="s">
        <v>199</v>
      </c>
      <c r="AQ24" s="50" t="s">
        <v>199</v>
      </c>
      <c r="AR24" s="50" t="s">
        <v>199</v>
      </c>
      <c r="AS24" s="50" t="s">
        <v>202</v>
      </c>
      <c r="AT24" s="50" t="s">
        <v>371</v>
      </c>
      <c r="AU24" s="50" t="s">
        <v>479</v>
      </c>
      <c r="AV24" s="50" t="s">
        <v>91</v>
      </c>
      <c r="AW24" s="50" t="s">
        <v>286</v>
      </c>
      <c r="AX24" s="50" t="s">
        <v>287</v>
      </c>
      <c r="AY24" s="50" t="s">
        <v>476</v>
      </c>
      <c r="AZ24" s="111">
        <v>5</v>
      </c>
      <c r="BA24" s="50" t="s">
        <v>288</v>
      </c>
      <c r="BB24" s="50" t="s">
        <v>350</v>
      </c>
      <c r="BC24" s="50" t="s">
        <v>387</v>
      </c>
      <c r="BD24" s="50" t="s">
        <v>288</v>
      </c>
      <c r="BE24" s="50" t="s">
        <v>287</v>
      </c>
      <c r="BF24" s="50" t="s">
        <v>286</v>
      </c>
      <c r="BG24" s="50" t="s">
        <v>348</v>
      </c>
      <c r="BH24" s="50" t="s">
        <v>486</v>
      </c>
      <c r="BI24" s="50"/>
      <c r="BJ24" s="111">
        <v>4</v>
      </c>
      <c r="BK24" s="50"/>
      <c r="BL24" s="50" t="s">
        <v>287</v>
      </c>
      <c r="BM24" s="50" t="s">
        <v>287</v>
      </c>
      <c r="BN24" s="50" t="s">
        <v>287</v>
      </c>
      <c r="BO24" s="50" t="s">
        <v>287</v>
      </c>
      <c r="BP24" s="50" t="s">
        <v>287</v>
      </c>
      <c r="BQ24" s="50"/>
      <c r="BR24" s="111">
        <v>4</v>
      </c>
      <c r="BS24" s="50" t="s">
        <v>287</v>
      </c>
      <c r="BT24" s="50"/>
      <c r="BU24" s="111">
        <v>5</v>
      </c>
      <c r="BV24" s="50" t="s">
        <v>287</v>
      </c>
      <c r="BW24" s="50" t="s">
        <v>287</v>
      </c>
      <c r="BX24" s="50" t="s">
        <v>287</v>
      </c>
      <c r="BY24" s="50" t="s">
        <v>287</v>
      </c>
      <c r="BZ24" s="50" t="s">
        <v>287</v>
      </c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</row>
    <row r="25" spans="1:89" ht="16.5" customHeight="1" thickBot="1">
      <c r="A25" s="49">
        <v>46092.372974537036</v>
      </c>
      <c r="B25" s="50" t="s">
        <v>40</v>
      </c>
      <c r="C25" s="50" t="s">
        <v>46</v>
      </c>
      <c r="D25" s="50" t="s">
        <v>369</v>
      </c>
      <c r="E25" s="50" t="s">
        <v>285</v>
      </c>
      <c r="F25" s="50" t="s">
        <v>286</v>
      </c>
      <c r="G25" s="50" t="s">
        <v>73</v>
      </c>
      <c r="H25" s="50" t="s">
        <v>309</v>
      </c>
      <c r="I25" s="50" t="s">
        <v>81</v>
      </c>
      <c r="J25" s="50" t="s">
        <v>286</v>
      </c>
      <c r="K25" s="50" t="s">
        <v>287</v>
      </c>
      <c r="L25" s="50" t="s">
        <v>482</v>
      </c>
      <c r="M25" s="50" t="s">
        <v>143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6</v>
      </c>
      <c r="AH25" s="111">
        <v>5</v>
      </c>
      <c r="AI25" s="111">
        <v>5</v>
      </c>
      <c r="AJ25" s="111">
        <v>5</v>
      </c>
      <c r="AK25" s="111">
        <v>6</v>
      </c>
      <c r="AL25" s="50" t="s">
        <v>200</v>
      </c>
      <c r="AM25" s="50" t="s">
        <v>199</v>
      </c>
      <c r="AN25" s="50" t="s">
        <v>202</v>
      </c>
      <c r="AO25" s="50" t="s">
        <v>202</v>
      </c>
      <c r="AP25" s="50" t="s">
        <v>199</v>
      </c>
      <c r="AQ25" s="50" t="s">
        <v>199</v>
      </c>
      <c r="AR25" s="50" t="s">
        <v>202</v>
      </c>
      <c r="AS25" s="50" t="s">
        <v>202</v>
      </c>
      <c r="AT25" s="50" t="s">
        <v>371</v>
      </c>
      <c r="AU25" s="50" t="s">
        <v>318</v>
      </c>
      <c r="AV25" s="50" t="s">
        <v>91</v>
      </c>
      <c r="AW25" s="50" t="s">
        <v>286</v>
      </c>
      <c r="AX25" s="50" t="s">
        <v>287</v>
      </c>
      <c r="AY25" s="50" t="s">
        <v>476</v>
      </c>
      <c r="AZ25" s="111">
        <v>5</v>
      </c>
      <c r="BA25" s="50" t="s">
        <v>288</v>
      </c>
      <c r="BB25" s="50" t="s">
        <v>350</v>
      </c>
      <c r="BC25" s="50" t="s">
        <v>387</v>
      </c>
      <c r="BD25" s="50" t="s">
        <v>288</v>
      </c>
      <c r="BE25" s="50" t="s">
        <v>287</v>
      </c>
      <c r="BF25" s="50" t="s">
        <v>286</v>
      </c>
      <c r="BG25" s="50" t="s">
        <v>348</v>
      </c>
      <c r="BH25" s="50" t="s">
        <v>486</v>
      </c>
      <c r="BI25" s="50"/>
      <c r="BJ25" s="111">
        <v>5</v>
      </c>
      <c r="BK25" s="50"/>
      <c r="BL25" s="50" t="s">
        <v>287</v>
      </c>
      <c r="BM25" s="50" t="s">
        <v>287</v>
      </c>
      <c r="BN25" s="50" t="s">
        <v>287</v>
      </c>
      <c r="BO25" s="50" t="s">
        <v>287</v>
      </c>
      <c r="BP25" s="50" t="s">
        <v>287</v>
      </c>
      <c r="BQ25" s="50"/>
      <c r="BR25" s="111">
        <v>5</v>
      </c>
      <c r="BS25" s="50" t="s">
        <v>287</v>
      </c>
      <c r="BT25" s="50"/>
      <c r="BU25" s="111">
        <v>5</v>
      </c>
      <c r="BV25" s="50" t="s">
        <v>287</v>
      </c>
      <c r="BW25" s="50" t="s">
        <v>287</v>
      </c>
      <c r="BX25" s="50" t="s">
        <v>287</v>
      </c>
      <c r="BY25" s="50" t="s">
        <v>287</v>
      </c>
      <c r="BZ25" s="50" t="s">
        <v>287</v>
      </c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</row>
    <row r="26" spans="1:89" ht="16.5" customHeight="1" thickBot="1">
      <c r="A26" s="49">
        <v>46092.376585648148</v>
      </c>
      <c r="B26" s="50" t="s">
        <v>40</v>
      </c>
      <c r="C26" s="50" t="s">
        <v>45</v>
      </c>
      <c r="D26" s="50" t="s">
        <v>369</v>
      </c>
      <c r="E26" s="50" t="s">
        <v>285</v>
      </c>
      <c r="F26" s="50" t="s">
        <v>286</v>
      </c>
      <c r="G26" s="50" t="s">
        <v>74</v>
      </c>
      <c r="H26" s="50" t="s">
        <v>302</v>
      </c>
      <c r="I26" s="50" t="s">
        <v>81</v>
      </c>
      <c r="J26" s="50" t="s">
        <v>286</v>
      </c>
      <c r="K26" s="50" t="s">
        <v>287</v>
      </c>
      <c r="L26" s="50" t="s">
        <v>482</v>
      </c>
      <c r="M26" s="50" t="s">
        <v>143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6</v>
      </c>
      <c r="AH26" s="111">
        <v>5</v>
      </c>
      <c r="AI26" s="111">
        <v>5</v>
      </c>
      <c r="AJ26" s="111">
        <v>5</v>
      </c>
      <c r="AK26" s="111">
        <v>6</v>
      </c>
      <c r="AL26" s="50" t="s">
        <v>200</v>
      </c>
      <c r="AM26" s="50" t="s">
        <v>199</v>
      </c>
      <c r="AN26" s="50" t="s">
        <v>202</v>
      </c>
      <c r="AO26" s="50" t="s">
        <v>201</v>
      </c>
      <c r="AP26" s="50" t="s">
        <v>200</v>
      </c>
      <c r="AQ26" s="50" t="s">
        <v>200</v>
      </c>
      <c r="AR26" s="50" t="s">
        <v>202</v>
      </c>
      <c r="AS26" s="50" t="s">
        <v>202</v>
      </c>
      <c r="AT26" s="50" t="s">
        <v>371</v>
      </c>
      <c r="AU26" s="50" t="s">
        <v>318</v>
      </c>
      <c r="AV26" s="50" t="s">
        <v>91</v>
      </c>
      <c r="AW26" s="50" t="s">
        <v>286</v>
      </c>
      <c r="AX26" s="50" t="s">
        <v>287</v>
      </c>
      <c r="AY26" s="50" t="s">
        <v>476</v>
      </c>
      <c r="AZ26" s="111">
        <v>5</v>
      </c>
      <c r="BA26" s="50" t="s">
        <v>288</v>
      </c>
      <c r="BB26" s="50" t="s">
        <v>350</v>
      </c>
      <c r="BC26" s="50" t="s">
        <v>387</v>
      </c>
      <c r="BD26" s="50" t="s">
        <v>288</v>
      </c>
      <c r="BE26" s="50" t="s">
        <v>287</v>
      </c>
      <c r="BF26" s="50" t="s">
        <v>286</v>
      </c>
      <c r="BG26" s="50" t="s">
        <v>348</v>
      </c>
      <c r="BH26" s="50" t="s">
        <v>486</v>
      </c>
      <c r="BI26" s="50"/>
      <c r="BJ26" s="111">
        <v>5</v>
      </c>
      <c r="BK26" s="50"/>
      <c r="BL26" s="50" t="s">
        <v>287</v>
      </c>
      <c r="BM26" s="50" t="s">
        <v>287</v>
      </c>
      <c r="BN26" s="50" t="s">
        <v>287</v>
      </c>
      <c r="BO26" s="50" t="s">
        <v>287</v>
      </c>
      <c r="BP26" s="50" t="s">
        <v>287</v>
      </c>
      <c r="BQ26" s="50"/>
      <c r="BR26" s="111">
        <v>5</v>
      </c>
      <c r="BS26" s="50" t="s">
        <v>287</v>
      </c>
      <c r="BT26" s="50"/>
      <c r="BU26" s="111">
        <v>5</v>
      </c>
      <c r="BV26" s="50" t="s">
        <v>287</v>
      </c>
      <c r="BW26" s="50" t="s">
        <v>287</v>
      </c>
      <c r="BX26" s="50" t="s">
        <v>287</v>
      </c>
      <c r="BY26" s="50" t="s">
        <v>287</v>
      </c>
      <c r="BZ26" s="50" t="s">
        <v>287</v>
      </c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</row>
    <row r="27" spans="1:89" ht="16.5" customHeight="1" thickBot="1">
      <c r="A27" s="49">
        <v>46092.378981481481</v>
      </c>
      <c r="B27" s="50" t="s">
        <v>40</v>
      </c>
      <c r="C27" s="50" t="s">
        <v>45</v>
      </c>
      <c r="D27" s="50" t="s">
        <v>369</v>
      </c>
      <c r="E27" s="50" t="s">
        <v>61</v>
      </c>
      <c r="F27" s="50" t="s">
        <v>286</v>
      </c>
      <c r="G27" s="50" t="s">
        <v>73</v>
      </c>
      <c r="H27" s="50" t="s">
        <v>335</v>
      </c>
      <c r="I27" s="50" t="s">
        <v>91</v>
      </c>
      <c r="J27" s="50" t="s">
        <v>286</v>
      </c>
      <c r="K27" s="50" t="s">
        <v>291</v>
      </c>
      <c r="L27" s="50" t="s">
        <v>286</v>
      </c>
      <c r="M27" s="50" t="s">
        <v>143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5</v>
      </c>
      <c r="AF27" s="111">
        <v>5</v>
      </c>
      <c r="AG27" s="111">
        <v>6</v>
      </c>
      <c r="AH27" s="111">
        <v>5</v>
      </c>
      <c r="AI27" s="111">
        <v>5</v>
      </c>
      <c r="AJ27" s="111">
        <v>5</v>
      </c>
      <c r="AK27" s="111">
        <v>6</v>
      </c>
      <c r="AL27" s="50" t="s">
        <v>200</v>
      </c>
      <c r="AM27" s="50" t="s">
        <v>200</v>
      </c>
      <c r="AN27" s="50" t="s">
        <v>202</v>
      </c>
      <c r="AO27" s="50" t="s">
        <v>202</v>
      </c>
      <c r="AP27" s="50" t="s">
        <v>200</v>
      </c>
      <c r="AQ27" s="50" t="s">
        <v>201</v>
      </c>
      <c r="AR27" s="50" t="s">
        <v>200</v>
      </c>
      <c r="AS27" s="50" t="s">
        <v>202</v>
      </c>
      <c r="AT27" s="50" t="s">
        <v>371</v>
      </c>
      <c r="AU27" s="50" t="s">
        <v>444</v>
      </c>
      <c r="AV27" s="50" t="s">
        <v>91</v>
      </c>
      <c r="AW27" s="50" t="s">
        <v>286</v>
      </c>
      <c r="AX27" s="50" t="s">
        <v>287</v>
      </c>
      <c r="AY27" s="50" t="s">
        <v>610</v>
      </c>
      <c r="AZ27" s="111">
        <v>5</v>
      </c>
      <c r="BA27" s="50" t="s">
        <v>288</v>
      </c>
      <c r="BB27" s="50" t="s">
        <v>350</v>
      </c>
      <c r="BC27" s="50" t="s">
        <v>387</v>
      </c>
      <c r="BD27" s="50" t="s">
        <v>288</v>
      </c>
      <c r="BE27" s="50" t="s">
        <v>287</v>
      </c>
      <c r="BF27" s="50" t="s">
        <v>286</v>
      </c>
      <c r="BG27" s="50" t="s">
        <v>348</v>
      </c>
      <c r="BH27" s="50" t="s">
        <v>486</v>
      </c>
      <c r="BI27" s="50"/>
      <c r="BJ27" s="111">
        <v>5</v>
      </c>
      <c r="BK27" s="50"/>
      <c r="BL27" s="50" t="s">
        <v>287</v>
      </c>
      <c r="BM27" s="50" t="s">
        <v>287</v>
      </c>
      <c r="BN27" s="50" t="s">
        <v>287</v>
      </c>
      <c r="BO27" s="50" t="s">
        <v>287</v>
      </c>
      <c r="BP27" s="50" t="s">
        <v>287</v>
      </c>
      <c r="BQ27" s="50"/>
      <c r="BR27" s="111">
        <v>5</v>
      </c>
      <c r="BS27" s="50" t="s">
        <v>287</v>
      </c>
      <c r="BT27" s="50"/>
      <c r="BU27" s="111">
        <v>5</v>
      </c>
      <c r="BV27" s="50" t="s">
        <v>287</v>
      </c>
      <c r="BW27" s="50" t="s">
        <v>287</v>
      </c>
      <c r="BX27" s="50" t="s">
        <v>287</v>
      </c>
      <c r="BY27" s="50" t="s">
        <v>287</v>
      </c>
      <c r="BZ27" s="50" t="s">
        <v>287</v>
      </c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</row>
    <row r="28" spans="1:89" ht="16.5" customHeight="1" thickBot="1">
      <c r="A28" s="49">
        <v>46092.381967592592</v>
      </c>
      <c r="B28" s="50" t="s">
        <v>32</v>
      </c>
      <c r="C28" s="50" t="s">
        <v>46</v>
      </c>
      <c r="D28" s="50" t="s">
        <v>369</v>
      </c>
      <c r="E28" s="50" t="s">
        <v>285</v>
      </c>
      <c r="F28" s="50" t="s">
        <v>286</v>
      </c>
      <c r="G28" s="50" t="s">
        <v>73</v>
      </c>
      <c r="H28" s="50" t="s">
        <v>466</v>
      </c>
      <c r="I28" s="50" t="s">
        <v>91</v>
      </c>
      <c r="J28" s="50" t="s">
        <v>286</v>
      </c>
      <c r="K28" s="50" t="s">
        <v>291</v>
      </c>
      <c r="L28" s="50" t="s">
        <v>286</v>
      </c>
      <c r="M28" s="50" t="s">
        <v>143</v>
      </c>
      <c r="N28" s="111">
        <v>4</v>
      </c>
      <c r="O28" s="111">
        <v>4</v>
      </c>
      <c r="P28" s="111">
        <v>4</v>
      </c>
      <c r="Q28" s="111">
        <v>4</v>
      </c>
      <c r="R28" s="111">
        <v>4</v>
      </c>
      <c r="S28" s="111">
        <v>4</v>
      </c>
      <c r="T28" s="111">
        <v>4</v>
      </c>
      <c r="U28" s="111">
        <v>4</v>
      </c>
      <c r="V28" s="111">
        <v>4</v>
      </c>
      <c r="W28" s="111">
        <v>4</v>
      </c>
      <c r="X28" s="111">
        <v>4</v>
      </c>
      <c r="Y28" s="111">
        <v>4</v>
      </c>
      <c r="Z28" s="111">
        <v>4</v>
      </c>
      <c r="AA28" s="111">
        <v>4</v>
      </c>
      <c r="AB28" s="111">
        <v>4</v>
      </c>
      <c r="AC28" s="111">
        <v>4</v>
      </c>
      <c r="AD28" s="111">
        <v>4</v>
      </c>
      <c r="AE28" s="111">
        <v>4</v>
      </c>
      <c r="AF28" s="111">
        <v>5</v>
      </c>
      <c r="AG28" s="111">
        <v>6</v>
      </c>
      <c r="AH28" s="111">
        <v>5</v>
      </c>
      <c r="AI28" s="111">
        <v>5</v>
      </c>
      <c r="AJ28" s="111">
        <v>5</v>
      </c>
      <c r="AK28" s="111">
        <v>6</v>
      </c>
      <c r="AL28" s="50" t="s">
        <v>200</v>
      </c>
      <c r="AM28" s="50" t="s">
        <v>200</v>
      </c>
      <c r="AN28" s="50" t="s">
        <v>202</v>
      </c>
      <c r="AO28" s="50" t="s">
        <v>202</v>
      </c>
      <c r="AP28" s="50" t="s">
        <v>200</v>
      </c>
      <c r="AQ28" s="50" t="s">
        <v>202</v>
      </c>
      <c r="AR28" s="50" t="s">
        <v>200</v>
      </c>
      <c r="AS28" s="50" t="s">
        <v>200</v>
      </c>
      <c r="AT28" s="50" t="s">
        <v>371</v>
      </c>
      <c r="AU28" s="50" t="s">
        <v>286</v>
      </c>
      <c r="AV28" s="50" t="s">
        <v>91</v>
      </c>
      <c r="AW28" s="50" t="s">
        <v>286</v>
      </c>
      <c r="AX28" s="50" t="s">
        <v>287</v>
      </c>
      <c r="AY28" s="50" t="s">
        <v>476</v>
      </c>
      <c r="AZ28" s="111">
        <v>5</v>
      </c>
      <c r="BA28" s="50" t="s">
        <v>288</v>
      </c>
      <c r="BB28" s="50" t="s">
        <v>350</v>
      </c>
      <c r="BC28" s="50" t="s">
        <v>387</v>
      </c>
      <c r="BD28" s="50" t="s">
        <v>288</v>
      </c>
      <c r="BE28" s="50" t="s">
        <v>287</v>
      </c>
      <c r="BF28" s="50" t="s">
        <v>286</v>
      </c>
      <c r="BG28" s="50" t="s">
        <v>348</v>
      </c>
      <c r="BH28" s="50" t="s">
        <v>486</v>
      </c>
      <c r="BI28" s="50"/>
      <c r="BJ28" s="111">
        <v>4</v>
      </c>
      <c r="BK28" s="50"/>
      <c r="BL28" s="50" t="s">
        <v>287</v>
      </c>
      <c r="BM28" s="50" t="s">
        <v>287</v>
      </c>
      <c r="BN28" s="50" t="s">
        <v>287</v>
      </c>
      <c r="BO28" s="50" t="s">
        <v>287</v>
      </c>
      <c r="BP28" s="50" t="s">
        <v>287</v>
      </c>
      <c r="BQ28" s="50"/>
      <c r="BR28" s="111">
        <v>4</v>
      </c>
      <c r="BS28" s="50" t="s">
        <v>287</v>
      </c>
      <c r="BT28" s="50"/>
      <c r="BU28" s="111">
        <v>5</v>
      </c>
      <c r="BV28" s="50" t="s">
        <v>287</v>
      </c>
      <c r="BW28" s="50" t="s">
        <v>287</v>
      </c>
      <c r="BX28" s="50" t="s">
        <v>287</v>
      </c>
      <c r="BY28" s="50" t="s">
        <v>287</v>
      </c>
      <c r="BZ28" s="50" t="s">
        <v>287</v>
      </c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</row>
    <row r="29" spans="1:89" ht="16.5" customHeight="1" thickBot="1">
      <c r="A29" s="49">
        <v>46092.383900462963</v>
      </c>
      <c r="B29" s="50" t="s">
        <v>40</v>
      </c>
      <c r="C29" s="50" t="s">
        <v>46</v>
      </c>
      <c r="D29" s="50" t="s">
        <v>369</v>
      </c>
      <c r="E29" s="50" t="s">
        <v>56</v>
      </c>
      <c r="F29" s="50" t="s">
        <v>376</v>
      </c>
      <c r="G29" s="50" t="s">
        <v>74</v>
      </c>
      <c r="H29" s="50" t="s">
        <v>446</v>
      </c>
      <c r="I29" s="50" t="s">
        <v>91</v>
      </c>
      <c r="J29" s="50"/>
      <c r="K29" s="50" t="s">
        <v>291</v>
      </c>
      <c r="L29" s="50" t="s">
        <v>286</v>
      </c>
      <c r="M29" s="50" t="s">
        <v>143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6</v>
      </c>
      <c r="AH29" s="111">
        <v>5</v>
      </c>
      <c r="AI29" s="111">
        <v>5</v>
      </c>
      <c r="AJ29" s="111">
        <v>5</v>
      </c>
      <c r="AK29" s="111">
        <v>6</v>
      </c>
      <c r="AL29" s="50" t="s">
        <v>199</v>
      </c>
      <c r="AM29" s="50" t="s">
        <v>199</v>
      </c>
      <c r="AN29" s="50" t="s">
        <v>202</v>
      </c>
      <c r="AO29" s="50" t="s">
        <v>202</v>
      </c>
      <c r="AP29" s="50" t="s">
        <v>199</v>
      </c>
      <c r="AQ29" s="50" t="s">
        <v>199</v>
      </c>
      <c r="AR29" s="50" t="s">
        <v>199</v>
      </c>
      <c r="AS29" s="50" t="s">
        <v>202</v>
      </c>
      <c r="AT29" s="50" t="s">
        <v>371</v>
      </c>
      <c r="AU29" s="50" t="s">
        <v>479</v>
      </c>
      <c r="AV29" s="50" t="s">
        <v>91</v>
      </c>
      <c r="AW29" s="50" t="s">
        <v>286</v>
      </c>
      <c r="AX29" s="50" t="s">
        <v>287</v>
      </c>
      <c r="AY29" s="50" t="s">
        <v>476</v>
      </c>
      <c r="AZ29" s="111">
        <v>5</v>
      </c>
      <c r="BA29" s="50" t="s">
        <v>288</v>
      </c>
      <c r="BB29" s="50" t="s">
        <v>350</v>
      </c>
      <c r="BC29" s="50" t="s">
        <v>387</v>
      </c>
      <c r="BD29" s="50" t="s">
        <v>288</v>
      </c>
      <c r="BE29" s="50" t="s">
        <v>287</v>
      </c>
      <c r="BF29" s="50" t="s">
        <v>286</v>
      </c>
      <c r="BG29" s="50" t="s">
        <v>348</v>
      </c>
      <c r="BH29" s="50" t="s">
        <v>486</v>
      </c>
      <c r="BI29" s="50"/>
      <c r="BJ29" s="111">
        <v>5</v>
      </c>
      <c r="BK29" s="50"/>
      <c r="BL29" s="50" t="s">
        <v>287</v>
      </c>
      <c r="BM29" s="50" t="s">
        <v>287</v>
      </c>
      <c r="BN29" s="50" t="s">
        <v>287</v>
      </c>
      <c r="BO29" s="50" t="s">
        <v>287</v>
      </c>
      <c r="BP29" s="50" t="s">
        <v>287</v>
      </c>
      <c r="BQ29" s="50"/>
      <c r="BR29" s="111">
        <v>5</v>
      </c>
      <c r="BS29" s="50" t="s">
        <v>287</v>
      </c>
      <c r="BT29" s="50"/>
      <c r="BU29" s="111">
        <v>5</v>
      </c>
      <c r="BV29" s="50" t="s">
        <v>287</v>
      </c>
      <c r="BW29" s="50" t="s">
        <v>287</v>
      </c>
      <c r="BX29" s="50" t="s">
        <v>287</v>
      </c>
      <c r="BY29" s="50" t="s">
        <v>287</v>
      </c>
      <c r="BZ29" s="50" t="s">
        <v>287</v>
      </c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</row>
    <row r="30" spans="1:89" ht="16.5" customHeight="1" thickBot="1">
      <c r="A30" s="49">
        <v>46092.386157407411</v>
      </c>
      <c r="B30" s="50" t="s">
        <v>40</v>
      </c>
      <c r="C30" s="50" t="s">
        <v>46</v>
      </c>
      <c r="D30" s="50" t="s">
        <v>369</v>
      </c>
      <c r="E30" s="50" t="s">
        <v>285</v>
      </c>
      <c r="F30" s="50" t="s">
        <v>286</v>
      </c>
      <c r="G30" s="50" t="s">
        <v>73</v>
      </c>
      <c r="H30" s="50" t="s">
        <v>302</v>
      </c>
      <c r="I30" s="50" t="s">
        <v>91</v>
      </c>
      <c r="J30" s="50" t="s">
        <v>286</v>
      </c>
      <c r="K30" s="50" t="s">
        <v>287</v>
      </c>
      <c r="L30" s="50" t="s">
        <v>286</v>
      </c>
      <c r="M30" s="50" t="s">
        <v>143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5</v>
      </c>
      <c r="AF30" s="111">
        <v>5</v>
      </c>
      <c r="AG30" s="111">
        <v>6</v>
      </c>
      <c r="AH30" s="111">
        <v>5</v>
      </c>
      <c r="AI30" s="111">
        <v>5</v>
      </c>
      <c r="AJ30" s="111">
        <v>5</v>
      </c>
      <c r="AK30" s="111">
        <v>6</v>
      </c>
      <c r="AL30" s="50" t="s">
        <v>200</v>
      </c>
      <c r="AM30" s="50" t="s">
        <v>200</v>
      </c>
      <c r="AN30" s="50" t="s">
        <v>202</v>
      </c>
      <c r="AO30" s="50" t="s">
        <v>202</v>
      </c>
      <c r="AP30" s="50" t="s">
        <v>200</v>
      </c>
      <c r="AQ30" s="50" t="s">
        <v>200</v>
      </c>
      <c r="AR30" s="50" t="s">
        <v>200</v>
      </c>
      <c r="AS30" s="50" t="s">
        <v>202</v>
      </c>
      <c r="AT30" s="50" t="s">
        <v>371</v>
      </c>
      <c r="AU30" s="50" t="s">
        <v>389</v>
      </c>
      <c r="AV30" s="50" t="s">
        <v>91</v>
      </c>
      <c r="AW30" s="50" t="s">
        <v>286</v>
      </c>
      <c r="AX30" s="50" t="s">
        <v>287</v>
      </c>
      <c r="AY30" s="50" t="s">
        <v>476</v>
      </c>
      <c r="AZ30" s="111">
        <v>5</v>
      </c>
      <c r="BA30" s="50" t="s">
        <v>288</v>
      </c>
      <c r="BB30" s="50" t="s">
        <v>350</v>
      </c>
      <c r="BC30" s="50" t="s">
        <v>387</v>
      </c>
      <c r="BD30" s="50" t="s">
        <v>288</v>
      </c>
      <c r="BE30" s="50" t="s">
        <v>287</v>
      </c>
      <c r="BF30" s="50" t="s">
        <v>286</v>
      </c>
      <c r="BG30" s="50" t="s">
        <v>348</v>
      </c>
      <c r="BH30" s="50" t="s">
        <v>486</v>
      </c>
      <c r="BI30" s="50"/>
      <c r="BJ30" s="111">
        <v>5</v>
      </c>
      <c r="BK30" s="50"/>
      <c r="BL30" s="50" t="s">
        <v>287</v>
      </c>
      <c r="BM30" s="50" t="s">
        <v>287</v>
      </c>
      <c r="BN30" s="50" t="s">
        <v>287</v>
      </c>
      <c r="BO30" s="50" t="s">
        <v>287</v>
      </c>
      <c r="BP30" s="50" t="s">
        <v>287</v>
      </c>
      <c r="BQ30" s="50"/>
      <c r="BR30" s="111">
        <v>5</v>
      </c>
      <c r="BS30" s="50" t="s">
        <v>287</v>
      </c>
      <c r="BT30" s="50"/>
      <c r="BU30" s="111">
        <v>5</v>
      </c>
      <c r="BV30" s="50" t="s">
        <v>287</v>
      </c>
      <c r="BW30" s="50" t="s">
        <v>287</v>
      </c>
      <c r="BX30" s="50" t="s">
        <v>287</v>
      </c>
      <c r="BY30" s="50" t="s">
        <v>287</v>
      </c>
      <c r="BZ30" s="50" t="s">
        <v>287</v>
      </c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</row>
    <row r="31" spans="1:89" ht="16.5" customHeight="1" thickBot="1">
      <c r="A31" s="49">
        <v>46092.388819444444</v>
      </c>
      <c r="B31" s="50" t="s">
        <v>39</v>
      </c>
      <c r="C31" s="50" t="s">
        <v>46</v>
      </c>
      <c r="D31" s="50" t="s">
        <v>374</v>
      </c>
      <c r="E31" s="50" t="s">
        <v>61</v>
      </c>
      <c r="F31" s="50" t="s">
        <v>286</v>
      </c>
      <c r="G31" s="50" t="s">
        <v>292</v>
      </c>
      <c r="H31" s="50" t="s">
        <v>324</v>
      </c>
      <c r="I31" s="50" t="s">
        <v>91</v>
      </c>
      <c r="J31" s="50" t="s">
        <v>286</v>
      </c>
      <c r="K31" s="50" t="s">
        <v>291</v>
      </c>
      <c r="L31" s="50" t="s">
        <v>286</v>
      </c>
      <c r="M31" s="50" t="s">
        <v>143</v>
      </c>
      <c r="N31" s="111">
        <v>5</v>
      </c>
      <c r="O31" s="111">
        <v>5</v>
      </c>
      <c r="P31" s="111">
        <v>5</v>
      </c>
      <c r="Q31" s="111">
        <v>5</v>
      </c>
      <c r="R31" s="111">
        <v>5</v>
      </c>
      <c r="S31" s="111">
        <v>5</v>
      </c>
      <c r="T31" s="111">
        <v>5</v>
      </c>
      <c r="U31" s="111">
        <v>5</v>
      </c>
      <c r="V31" s="111">
        <v>5</v>
      </c>
      <c r="W31" s="111">
        <v>5</v>
      </c>
      <c r="X31" s="111">
        <v>5</v>
      </c>
      <c r="Y31" s="111">
        <v>5</v>
      </c>
      <c r="Z31" s="111">
        <v>5</v>
      </c>
      <c r="AA31" s="111">
        <v>5</v>
      </c>
      <c r="AB31" s="111">
        <v>5</v>
      </c>
      <c r="AC31" s="111">
        <v>5</v>
      </c>
      <c r="AD31" s="111">
        <v>5</v>
      </c>
      <c r="AE31" s="111">
        <v>5</v>
      </c>
      <c r="AF31" s="111">
        <v>5</v>
      </c>
      <c r="AG31" s="111">
        <v>6</v>
      </c>
      <c r="AH31" s="111">
        <v>5</v>
      </c>
      <c r="AI31" s="111">
        <v>5</v>
      </c>
      <c r="AJ31" s="111">
        <v>5</v>
      </c>
      <c r="AK31" s="111">
        <v>6</v>
      </c>
      <c r="AL31" s="50" t="s">
        <v>200</v>
      </c>
      <c r="AM31" s="50" t="s">
        <v>200</v>
      </c>
      <c r="AN31" s="50" t="s">
        <v>202</v>
      </c>
      <c r="AO31" s="50" t="s">
        <v>202</v>
      </c>
      <c r="AP31" s="50" t="s">
        <v>200</v>
      </c>
      <c r="AQ31" s="50" t="s">
        <v>200</v>
      </c>
      <c r="AR31" s="50" t="s">
        <v>200</v>
      </c>
      <c r="AS31" s="50" t="s">
        <v>202</v>
      </c>
      <c r="AT31" s="50" t="s">
        <v>371</v>
      </c>
      <c r="AU31" s="50" t="s">
        <v>443</v>
      </c>
      <c r="AV31" s="50" t="s">
        <v>91</v>
      </c>
      <c r="AW31" s="50" t="s">
        <v>286</v>
      </c>
      <c r="AX31" s="50" t="s">
        <v>287</v>
      </c>
      <c r="AY31" s="50" t="s">
        <v>476</v>
      </c>
      <c r="AZ31" s="111">
        <v>5</v>
      </c>
      <c r="BA31" s="50" t="s">
        <v>288</v>
      </c>
      <c r="BB31" s="50" t="s">
        <v>350</v>
      </c>
      <c r="BC31" s="50" t="s">
        <v>387</v>
      </c>
      <c r="BD31" s="50" t="s">
        <v>288</v>
      </c>
      <c r="BE31" s="50" t="s">
        <v>287</v>
      </c>
      <c r="BF31" s="50" t="s">
        <v>286</v>
      </c>
      <c r="BG31" s="50" t="s">
        <v>348</v>
      </c>
      <c r="BH31" s="50" t="s">
        <v>486</v>
      </c>
      <c r="BI31" s="50"/>
      <c r="BJ31" s="111">
        <v>5</v>
      </c>
      <c r="BK31" s="50"/>
      <c r="BL31" s="50" t="s">
        <v>287</v>
      </c>
      <c r="BM31" s="50" t="s">
        <v>287</v>
      </c>
      <c r="BN31" s="50" t="s">
        <v>287</v>
      </c>
      <c r="BO31" s="50" t="s">
        <v>287</v>
      </c>
      <c r="BP31" s="50" t="s">
        <v>287</v>
      </c>
      <c r="BQ31" s="50"/>
      <c r="BR31" s="111">
        <v>5</v>
      </c>
      <c r="BS31" s="50" t="s">
        <v>287</v>
      </c>
      <c r="BT31" s="50"/>
      <c r="BU31" s="111">
        <v>5</v>
      </c>
      <c r="BV31" s="50" t="s">
        <v>287</v>
      </c>
      <c r="BW31" s="50" t="s">
        <v>287</v>
      </c>
      <c r="BX31" s="50" t="s">
        <v>287</v>
      </c>
      <c r="BY31" s="50" t="s">
        <v>287</v>
      </c>
      <c r="BZ31" s="50" t="s">
        <v>287</v>
      </c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</row>
    <row r="32" spans="1:89" ht="16.5" customHeight="1" thickBot="1">
      <c r="A32" s="49">
        <v>46092.393009259256</v>
      </c>
      <c r="B32" s="50" t="s">
        <v>40</v>
      </c>
      <c r="C32" s="50" t="s">
        <v>45</v>
      </c>
      <c r="D32" s="50" t="s">
        <v>374</v>
      </c>
      <c r="E32" s="50" t="s">
        <v>61</v>
      </c>
      <c r="F32" s="50" t="s">
        <v>286</v>
      </c>
      <c r="G32" s="50" t="s">
        <v>73</v>
      </c>
      <c r="H32" s="50" t="s">
        <v>298</v>
      </c>
      <c r="I32" s="50" t="s">
        <v>91</v>
      </c>
      <c r="J32" s="50" t="s">
        <v>286</v>
      </c>
      <c r="K32" s="50" t="s">
        <v>291</v>
      </c>
      <c r="L32" s="50" t="s">
        <v>286</v>
      </c>
      <c r="M32" s="50" t="s">
        <v>147</v>
      </c>
      <c r="N32" s="111">
        <v>5</v>
      </c>
      <c r="O32" s="111">
        <v>5</v>
      </c>
      <c r="P32" s="111">
        <v>5</v>
      </c>
      <c r="Q32" s="111">
        <v>5</v>
      </c>
      <c r="R32" s="111">
        <v>5</v>
      </c>
      <c r="S32" s="111">
        <v>6</v>
      </c>
      <c r="T32" s="111">
        <v>6</v>
      </c>
      <c r="U32" s="111">
        <v>5</v>
      </c>
      <c r="V32" s="111">
        <v>5</v>
      </c>
      <c r="W32" s="111">
        <v>5</v>
      </c>
      <c r="X32" s="111">
        <v>6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6</v>
      </c>
      <c r="AH32" s="111">
        <v>5</v>
      </c>
      <c r="AI32" s="111">
        <v>5</v>
      </c>
      <c r="AJ32" s="111">
        <v>5</v>
      </c>
      <c r="AK32" s="111">
        <v>6</v>
      </c>
      <c r="AL32" s="50" t="s">
        <v>199</v>
      </c>
      <c r="AM32" s="50" t="s">
        <v>199</v>
      </c>
      <c r="AN32" s="50" t="s">
        <v>202</v>
      </c>
      <c r="AO32" s="50" t="s">
        <v>202</v>
      </c>
      <c r="AP32" s="50" t="s">
        <v>199</v>
      </c>
      <c r="AQ32" s="50" t="s">
        <v>199</v>
      </c>
      <c r="AR32" s="50" t="s">
        <v>202</v>
      </c>
      <c r="AS32" s="50" t="s">
        <v>202</v>
      </c>
      <c r="AT32" s="50" t="s">
        <v>371</v>
      </c>
      <c r="AU32" s="50" t="s">
        <v>444</v>
      </c>
      <c r="AV32" s="50" t="s">
        <v>91</v>
      </c>
      <c r="AW32" s="50" t="s">
        <v>286</v>
      </c>
      <c r="AX32" s="50" t="s">
        <v>287</v>
      </c>
      <c r="AY32" s="50" t="s">
        <v>476</v>
      </c>
      <c r="AZ32" s="111">
        <v>5</v>
      </c>
      <c r="BA32" s="50" t="s">
        <v>288</v>
      </c>
      <c r="BB32" s="50" t="s">
        <v>350</v>
      </c>
      <c r="BC32" s="50" t="s">
        <v>387</v>
      </c>
      <c r="BD32" s="50" t="s">
        <v>288</v>
      </c>
      <c r="BE32" s="50" t="s">
        <v>287</v>
      </c>
      <c r="BF32" s="50" t="s">
        <v>286</v>
      </c>
      <c r="BG32" s="50" t="s">
        <v>348</v>
      </c>
      <c r="BH32" s="50" t="s">
        <v>486</v>
      </c>
      <c r="BI32" s="50"/>
      <c r="BJ32" s="111">
        <v>5</v>
      </c>
      <c r="BK32" s="50"/>
      <c r="BL32" s="50" t="s">
        <v>287</v>
      </c>
      <c r="BM32" s="50" t="s">
        <v>287</v>
      </c>
      <c r="BN32" s="50" t="s">
        <v>287</v>
      </c>
      <c r="BO32" s="50" t="s">
        <v>287</v>
      </c>
      <c r="BP32" s="50" t="s">
        <v>287</v>
      </c>
      <c r="BQ32" s="50"/>
      <c r="BR32" s="111">
        <v>5</v>
      </c>
      <c r="BS32" s="50" t="s">
        <v>287</v>
      </c>
      <c r="BT32" s="50"/>
      <c r="BU32" s="111">
        <v>5</v>
      </c>
      <c r="BV32" s="50" t="s">
        <v>287</v>
      </c>
      <c r="BW32" s="50" t="s">
        <v>287</v>
      </c>
      <c r="BX32" s="50" t="s">
        <v>287</v>
      </c>
      <c r="BY32" s="50" t="s">
        <v>287</v>
      </c>
      <c r="BZ32" s="50" t="s">
        <v>287</v>
      </c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</row>
    <row r="33" spans="1:89" ht="16.5" customHeight="1" thickBot="1">
      <c r="A33" s="49">
        <v>46092.396805555552</v>
      </c>
      <c r="B33" s="50" t="s">
        <v>40</v>
      </c>
      <c r="C33" s="50" t="s">
        <v>46</v>
      </c>
      <c r="D33" s="50" t="s">
        <v>385</v>
      </c>
      <c r="E33" s="50" t="s">
        <v>60</v>
      </c>
      <c r="F33" s="50" t="s">
        <v>611</v>
      </c>
      <c r="G33" s="50" t="s">
        <v>74</v>
      </c>
      <c r="H33" s="50" t="s">
        <v>302</v>
      </c>
      <c r="I33" s="50" t="s">
        <v>91</v>
      </c>
      <c r="J33" s="50" t="s">
        <v>286</v>
      </c>
      <c r="K33" s="50" t="s">
        <v>291</v>
      </c>
      <c r="L33" s="50" t="s">
        <v>286</v>
      </c>
      <c r="M33" s="50" t="s">
        <v>147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6</v>
      </c>
      <c r="T33" s="111">
        <v>6</v>
      </c>
      <c r="U33" s="111">
        <v>6</v>
      </c>
      <c r="V33" s="111">
        <v>5</v>
      </c>
      <c r="W33" s="111">
        <v>6</v>
      </c>
      <c r="X33" s="111">
        <v>6</v>
      </c>
      <c r="Y33" s="111">
        <v>6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6</v>
      </c>
      <c r="AH33" s="111">
        <v>5</v>
      </c>
      <c r="AI33" s="111">
        <v>5</v>
      </c>
      <c r="AJ33" s="111">
        <v>5</v>
      </c>
      <c r="AK33" s="111">
        <v>6</v>
      </c>
      <c r="AL33" s="50" t="s">
        <v>200</v>
      </c>
      <c r="AM33" s="50" t="s">
        <v>200</v>
      </c>
      <c r="AN33" s="50" t="s">
        <v>202</v>
      </c>
      <c r="AO33" s="50" t="s">
        <v>202</v>
      </c>
      <c r="AP33" s="50" t="s">
        <v>200</v>
      </c>
      <c r="AQ33" s="50" t="s">
        <v>200</v>
      </c>
      <c r="AR33" s="50" t="s">
        <v>200</v>
      </c>
      <c r="AS33" s="50" t="s">
        <v>202</v>
      </c>
      <c r="AT33" s="50" t="s">
        <v>371</v>
      </c>
      <c r="AU33" s="50" t="s">
        <v>444</v>
      </c>
      <c r="AV33" s="50" t="s">
        <v>91</v>
      </c>
      <c r="AW33" s="50" t="s">
        <v>286</v>
      </c>
      <c r="AX33" s="50" t="s">
        <v>287</v>
      </c>
      <c r="AY33" s="50" t="s">
        <v>476</v>
      </c>
      <c r="AZ33" s="111">
        <v>5</v>
      </c>
      <c r="BA33" s="50" t="s">
        <v>288</v>
      </c>
      <c r="BB33" s="50" t="s">
        <v>350</v>
      </c>
      <c r="BC33" s="50" t="s">
        <v>387</v>
      </c>
      <c r="BD33" s="50" t="s">
        <v>288</v>
      </c>
      <c r="BE33" s="50" t="s">
        <v>287</v>
      </c>
      <c r="BF33" s="50" t="s">
        <v>286</v>
      </c>
      <c r="BG33" s="50" t="s">
        <v>348</v>
      </c>
      <c r="BH33" s="50" t="s">
        <v>486</v>
      </c>
      <c r="BI33" s="50"/>
      <c r="BJ33" s="111">
        <v>5</v>
      </c>
      <c r="BK33" s="50"/>
      <c r="BL33" s="50" t="s">
        <v>287</v>
      </c>
      <c r="BM33" s="50" t="s">
        <v>287</v>
      </c>
      <c r="BN33" s="50" t="s">
        <v>287</v>
      </c>
      <c r="BO33" s="50" t="s">
        <v>287</v>
      </c>
      <c r="BP33" s="50" t="s">
        <v>287</v>
      </c>
      <c r="BQ33" s="50"/>
      <c r="BR33" s="111">
        <v>5</v>
      </c>
      <c r="BS33" s="50" t="s">
        <v>287</v>
      </c>
      <c r="BT33" s="50"/>
      <c r="BU33" s="111">
        <v>5</v>
      </c>
      <c r="BV33" s="50" t="s">
        <v>287</v>
      </c>
      <c r="BW33" s="50" t="s">
        <v>287</v>
      </c>
      <c r="BX33" s="50" t="s">
        <v>287</v>
      </c>
      <c r="BY33" s="50" t="s">
        <v>287</v>
      </c>
      <c r="BZ33" s="50" t="s">
        <v>287</v>
      </c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</row>
    <row r="34" spans="1:89" ht="16.5" customHeight="1" thickBot="1">
      <c r="A34" s="49">
        <v>46094.607303240744</v>
      </c>
      <c r="B34" s="50" t="s">
        <v>40</v>
      </c>
      <c r="C34" s="50" t="s">
        <v>46</v>
      </c>
      <c r="D34" s="50" t="s">
        <v>374</v>
      </c>
      <c r="E34" s="50" t="s">
        <v>61</v>
      </c>
      <c r="F34" s="50" t="s">
        <v>286</v>
      </c>
      <c r="G34" s="50" t="s">
        <v>73</v>
      </c>
      <c r="H34" s="50" t="s">
        <v>307</v>
      </c>
      <c r="I34" s="50" t="s">
        <v>81</v>
      </c>
      <c r="J34" s="50" t="s">
        <v>286</v>
      </c>
      <c r="K34" s="50" t="s">
        <v>287</v>
      </c>
      <c r="L34" s="50" t="s">
        <v>7</v>
      </c>
      <c r="M34" s="50" t="s">
        <v>146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6</v>
      </c>
      <c r="AH34" s="111">
        <v>5</v>
      </c>
      <c r="AI34" s="111">
        <v>5</v>
      </c>
      <c r="AJ34" s="111">
        <v>5</v>
      </c>
      <c r="AK34" s="111">
        <v>6</v>
      </c>
      <c r="AL34" s="50" t="s">
        <v>200</v>
      </c>
      <c r="AM34" s="50" t="s">
        <v>199</v>
      </c>
      <c r="AN34" s="50" t="s">
        <v>202</v>
      </c>
      <c r="AO34" s="50" t="s">
        <v>202</v>
      </c>
      <c r="AP34" s="50" t="s">
        <v>199</v>
      </c>
      <c r="AQ34" s="50" t="s">
        <v>199</v>
      </c>
      <c r="AR34" s="50" t="s">
        <v>199</v>
      </c>
      <c r="AS34" s="50" t="s">
        <v>202</v>
      </c>
      <c r="AT34" s="50" t="s">
        <v>371</v>
      </c>
      <c r="AU34" s="50" t="s">
        <v>358</v>
      </c>
      <c r="AV34" s="50" t="s">
        <v>91</v>
      </c>
      <c r="AW34" s="50" t="s">
        <v>286</v>
      </c>
      <c r="AX34" s="50" t="s">
        <v>287</v>
      </c>
      <c r="AY34" s="50" t="s">
        <v>483</v>
      </c>
      <c r="AZ34" s="111">
        <v>5</v>
      </c>
      <c r="BA34" s="50" t="s">
        <v>288</v>
      </c>
      <c r="BB34" s="50" t="s">
        <v>350</v>
      </c>
      <c r="BC34" s="50" t="s">
        <v>294</v>
      </c>
      <c r="BD34" s="50" t="s">
        <v>288</v>
      </c>
      <c r="BE34" s="50" t="s">
        <v>287</v>
      </c>
      <c r="BF34" s="50" t="s">
        <v>286</v>
      </c>
      <c r="BG34" s="50" t="s">
        <v>348</v>
      </c>
      <c r="BH34" s="50" t="s">
        <v>486</v>
      </c>
      <c r="BI34" s="50"/>
      <c r="BJ34" s="111">
        <v>5</v>
      </c>
      <c r="BK34" s="50"/>
      <c r="BL34" s="50" t="s">
        <v>287</v>
      </c>
      <c r="BM34" s="50" t="s">
        <v>287</v>
      </c>
      <c r="BN34" s="50" t="s">
        <v>287</v>
      </c>
      <c r="BO34" s="50" t="s">
        <v>287</v>
      </c>
      <c r="BP34" s="50" t="s">
        <v>287</v>
      </c>
      <c r="BQ34" s="50"/>
      <c r="BR34" s="111">
        <v>5</v>
      </c>
      <c r="BS34" s="50" t="s">
        <v>287</v>
      </c>
      <c r="BT34" s="50"/>
      <c r="BU34" s="111">
        <v>5</v>
      </c>
      <c r="BV34" s="50" t="s">
        <v>287</v>
      </c>
      <c r="BW34" s="50" t="s">
        <v>287</v>
      </c>
      <c r="BX34" s="50" t="s">
        <v>91</v>
      </c>
      <c r="BY34" s="50" t="s">
        <v>287</v>
      </c>
      <c r="BZ34" s="50" t="s">
        <v>287</v>
      </c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</row>
    <row r="35" spans="1:89" ht="16.5" customHeight="1" thickBot="1">
      <c r="A35" s="49">
        <v>46094.611932870372</v>
      </c>
      <c r="B35" s="50" t="s">
        <v>35</v>
      </c>
      <c r="C35" s="50" t="s">
        <v>46</v>
      </c>
      <c r="D35" s="50" t="s">
        <v>369</v>
      </c>
      <c r="E35" s="50" t="s">
        <v>285</v>
      </c>
      <c r="F35" s="50" t="s">
        <v>286</v>
      </c>
      <c r="G35" s="50" t="s">
        <v>73</v>
      </c>
      <c r="H35" s="50" t="s">
        <v>307</v>
      </c>
      <c r="I35" s="50" t="s">
        <v>91</v>
      </c>
      <c r="J35" s="50" t="s">
        <v>286</v>
      </c>
      <c r="K35" s="50" t="s">
        <v>291</v>
      </c>
      <c r="L35" s="50" t="s">
        <v>286</v>
      </c>
      <c r="M35" s="50" t="s">
        <v>146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6</v>
      </c>
      <c r="AH35" s="111">
        <v>5</v>
      </c>
      <c r="AI35" s="111">
        <v>5</v>
      </c>
      <c r="AJ35" s="111">
        <v>5</v>
      </c>
      <c r="AK35" s="111">
        <v>5</v>
      </c>
      <c r="AL35" s="50" t="s">
        <v>199</v>
      </c>
      <c r="AM35" s="50" t="s">
        <v>199</v>
      </c>
      <c r="AN35" s="50" t="s">
        <v>202</v>
      </c>
      <c r="AO35" s="50" t="s">
        <v>202</v>
      </c>
      <c r="AP35" s="50" t="s">
        <v>200</v>
      </c>
      <c r="AQ35" s="50" t="s">
        <v>202</v>
      </c>
      <c r="AR35" s="50" t="s">
        <v>202</v>
      </c>
      <c r="AS35" s="50" t="s">
        <v>202</v>
      </c>
      <c r="AT35" s="50" t="s">
        <v>371</v>
      </c>
      <c r="AU35" s="50" t="s">
        <v>318</v>
      </c>
      <c r="AV35" s="50" t="s">
        <v>91</v>
      </c>
      <c r="AW35" s="50" t="s">
        <v>286</v>
      </c>
      <c r="AX35" s="50" t="s">
        <v>287</v>
      </c>
      <c r="AY35" s="50" t="s">
        <v>476</v>
      </c>
      <c r="AZ35" s="111">
        <v>5</v>
      </c>
      <c r="BA35" s="50"/>
      <c r="BB35" s="50" t="s">
        <v>350</v>
      </c>
      <c r="BC35" s="50" t="s">
        <v>387</v>
      </c>
      <c r="BD35" s="50" t="s">
        <v>288</v>
      </c>
      <c r="BE35" s="50" t="s">
        <v>287</v>
      </c>
      <c r="BF35" s="50" t="s">
        <v>286</v>
      </c>
      <c r="BG35" s="50" t="s">
        <v>348</v>
      </c>
      <c r="BH35" s="50" t="s">
        <v>486</v>
      </c>
      <c r="BI35" s="50"/>
      <c r="BJ35" s="111">
        <v>5</v>
      </c>
      <c r="BK35" s="50"/>
      <c r="BL35" s="50" t="s">
        <v>287</v>
      </c>
      <c r="BM35" s="50" t="s">
        <v>287</v>
      </c>
      <c r="BN35" s="50" t="s">
        <v>287</v>
      </c>
      <c r="BO35" s="50" t="s">
        <v>287</v>
      </c>
      <c r="BP35" s="50" t="s">
        <v>287</v>
      </c>
      <c r="BQ35" s="50"/>
      <c r="BR35" s="111">
        <v>5</v>
      </c>
      <c r="BS35" s="50" t="s">
        <v>287</v>
      </c>
      <c r="BT35" s="50"/>
      <c r="BU35" s="111">
        <v>5</v>
      </c>
      <c r="BV35" s="50" t="s">
        <v>287</v>
      </c>
      <c r="BW35" s="50" t="s">
        <v>287</v>
      </c>
      <c r="BX35" s="50" t="s">
        <v>287</v>
      </c>
      <c r="BY35" s="50" t="s">
        <v>287</v>
      </c>
      <c r="BZ35" s="50" t="s">
        <v>287</v>
      </c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1:89" ht="16.5" customHeight="1" thickBot="1">
      <c r="A36" s="49">
        <v>46098.396053240744</v>
      </c>
      <c r="B36" s="50" t="s">
        <v>40</v>
      </c>
      <c r="C36" s="50" t="s">
        <v>45</v>
      </c>
      <c r="D36" s="50" t="s">
        <v>369</v>
      </c>
      <c r="E36" s="50" t="s">
        <v>285</v>
      </c>
      <c r="F36" s="50" t="s">
        <v>286</v>
      </c>
      <c r="G36" s="50" t="s">
        <v>73</v>
      </c>
      <c r="H36" s="50" t="s">
        <v>298</v>
      </c>
      <c r="I36" s="50" t="s">
        <v>81</v>
      </c>
      <c r="J36" s="50" t="s">
        <v>286</v>
      </c>
      <c r="K36" s="50" t="s">
        <v>287</v>
      </c>
      <c r="L36" s="50" t="s">
        <v>7</v>
      </c>
      <c r="M36" s="50" t="s">
        <v>146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6</v>
      </c>
      <c r="AH36" s="111">
        <v>5</v>
      </c>
      <c r="AI36" s="111">
        <v>5</v>
      </c>
      <c r="AJ36" s="111">
        <v>5</v>
      </c>
      <c r="AK36" s="111">
        <v>6</v>
      </c>
      <c r="AL36" s="50" t="s">
        <v>200</v>
      </c>
      <c r="AM36" s="50" t="s">
        <v>199</v>
      </c>
      <c r="AN36" s="50" t="s">
        <v>202</v>
      </c>
      <c r="AO36" s="50" t="s">
        <v>202</v>
      </c>
      <c r="AP36" s="50" t="s">
        <v>199</v>
      </c>
      <c r="AQ36" s="50" t="s">
        <v>200</v>
      </c>
      <c r="AR36" s="50" t="s">
        <v>199</v>
      </c>
      <c r="AS36" s="50" t="s">
        <v>202</v>
      </c>
      <c r="AT36" s="50" t="s">
        <v>371</v>
      </c>
      <c r="AU36" s="50" t="s">
        <v>318</v>
      </c>
      <c r="AV36" s="50" t="s">
        <v>91</v>
      </c>
      <c r="AW36" s="50" t="s">
        <v>286</v>
      </c>
      <c r="AX36" s="50" t="s">
        <v>287</v>
      </c>
      <c r="AY36" s="50" t="s">
        <v>476</v>
      </c>
      <c r="AZ36" s="111">
        <v>5</v>
      </c>
      <c r="BA36" s="50" t="s">
        <v>288</v>
      </c>
      <c r="BB36" s="50" t="s">
        <v>350</v>
      </c>
      <c r="BC36" s="50" t="s">
        <v>387</v>
      </c>
      <c r="BD36" s="50" t="s">
        <v>288</v>
      </c>
      <c r="BE36" s="50" t="s">
        <v>287</v>
      </c>
      <c r="BF36" s="50" t="s">
        <v>286</v>
      </c>
      <c r="BG36" s="50" t="s">
        <v>348</v>
      </c>
      <c r="BH36" s="50" t="s">
        <v>486</v>
      </c>
      <c r="BI36" s="50"/>
      <c r="BJ36" s="111">
        <v>5</v>
      </c>
      <c r="BK36" s="50"/>
      <c r="BL36" s="50" t="s">
        <v>287</v>
      </c>
      <c r="BM36" s="50" t="s">
        <v>287</v>
      </c>
      <c r="BN36" s="50" t="s">
        <v>287</v>
      </c>
      <c r="BO36" s="50" t="s">
        <v>287</v>
      </c>
      <c r="BP36" s="50" t="s">
        <v>287</v>
      </c>
      <c r="BQ36" s="50"/>
      <c r="BR36" s="111">
        <v>5</v>
      </c>
      <c r="BS36" s="50" t="s">
        <v>287</v>
      </c>
      <c r="BT36" s="50"/>
      <c r="BU36" s="111">
        <v>5</v>
      </c>
      <c r="BV36" s="50" t="s">
        <v>287</v>
      </c>
      <c r="BW36" s="50" t="s">
        <v>287</v>
      </c>
      <c r="BX36" s="50" t="s">
        <v>287</v>
      </c>
      <c r="BY36" s="50" t="s">
        <v>287</v>
      </c>
      <c r="BZ36" s="50" t="s">
        <v>287</v>
      </c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1:89" ht="16.5" customHeight="1" thickBot="1">
      <c r="A37" s="49">
        <v>46098.442326388889</v>
      </c>
      <c r="B37" s="50" t="s">
        <v>40</v>
      </c>
      <c r="C37" s="50" t="s">
        <v>45</v>
      </c>
      <c r="D37" s="50" t="s">
        <v>369</v>
      </c>
      <c r="E37" s="50" t="s">
        <v>53</v>
      </c>
      <c r="F37" s="50" t="s">
        <v>286</v>
      </c>
      <c r="G37" s="50" t="s">
        <v>292</v>
      </c>
      <c r="H37" s="50" t="s">
        <v>612</v>
      </c>
      <c r="I37" s="50" t="s">
        <v>91</v>
      </c>
      <c r="J37" s="50" t="s">
        <v>286</v>
      </c>
      <c r="K37" s="50" t="s">
        <v>291</v>
      </c>
      <c r="L37" s="50" t="s">
        <v>286</v>
      </c>
      <c r="M37" s="50" t="s">
        <v>212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6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6</v>
      </c>
      <c r="AH37" s="111">
        <v>5</v>
      </c>
      <c r="AI37" s="111">
        <v>5</v>
      </c>
      <c r="AJ37" s="111">
        <v>5</v>
      </c>
      <c r="AK37" s="111">
        <v>6</v>
      </c>
      <c r="AL37" s="50" t="s">
        <v>200</v>
      </c>
      <c r="AM37" s="50" t="s">
        <v>200</v>
      </c>
      <c r="AN37" s="50" t="s">
        <v>202</v>
      </c>
      <c r="AO37" s="50" t="s">
        <v>202</v>
      </c>
      <c r="AP37" s="50" t="s">
        <v>202</v>
      </c>
      <c r="AQ37" s="50" t="s">
        <v>199</v>
      </c>
      <c r="AR37" s="50" t="s">
        <v>202</v>
      </c>
      <c r="AS37" s="50" t="s">
        <v>202</v>
      </c>
      <c r="AT37" s="50" t="s">
        <v>371</v>
      </c>
      <c r="AU37" s="50" t="s">
        <v>460</v>
      </c>
      <c r="AV37" s="50" t="s">
        <v>91</v>
      </c>
      <c r="AW37" s="50" t="s">
        <v>286</v>
      </c>
      <c r="AX37" s="50" t="s">
        <v>287</v>
      </c>
      <c r="AY37" s="50" t="s">
        <v>483</v>
      </c>
      <c r="AZ37" s="111">
        <v>5</v>
      </c>
      <c r="BA37" s="50" t="s">
        <v>288</v>
      </c>
      <c r="BB37" s="50" t="s">
        <v>303</v>
      </c>
      <c r="BC37" s="50" t="s">
        <v>387</v>
      </c>
      <c r="BD37" s="50" t="s">
        <v>288</v>
      </c>
      <c r="BE37" s="50" t="s">
        <v>287</v>
      </c>
      <c r="BF37" s="50" t="s">
        <v>286</v>
      </c>
      <c r="BG37" s="50" t="s">
        <v>348</v>
      </c>
      <c r="BH37" s="50" t="s">
        <v>486</v>
      </c>
      <c r="BI37" s="50"/>
      <c r="BJ37" s="111">
        <v>5</v>
      </c>
      <c r="BK37" s="50"/>
      <c r="BL37" s="50" t="s">
        <v>287</v>
      </c>
      <c r="BM37" s="50" t="s">
        <v>287</v>
      </c>
      <c r="BN37" s="50" t="s">
        <v>287</v>
      </c>
      <c r="BO37" s="50" t="s">
        <v>287</v>
      </c>
      <c r="BP37" s="50" t="s">
        <v>287</v>
      </c>
      <c r="BQ37" s="50"/>
      <c r="BR37" s="111">
        <v>5</v>
      </c>
      <c r="BS37" s="50" t="s">
        <v>287</v>
      </c>
      <c r="BT37" s="50"/>
      <c r="BU37" s="111">
        <v>5</v>
      </c>
      <c r="BV37" s="50" t="s">
        <v>287</v>
      </c>
      <c r="BW37" s="50" t="s">
        <v>287</v>
      </c>
      <c r="BX37" s="50" t="s">
        <v>287</v>
      </c>
      <c r="BY37" s="50" t="s">
        <v>287</v>
      </c>
      <c r="BZ37" s="50" t="s">
        <v>287</v>
      </c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</row>
    <row r="38" spans="1:89" ht="16.5" customHeight="1" thickBot="1">
      <c r="A38" s="49">
        <v>46098.444641203707</v>
      </c>
      <c r="B38" s="50" t="s">
        <v>34</v>
      </c>
      <c r="C38" s="50" t="s">
        <v>45</v>
      </c>
      <c r="D38" s="50" t="s">
        <v>369</v>
      </c>
      <c r="E38" s="50" t="s">
        <v>285</v>
      </c>
      <c r="F38" s="50"/>
      <c r="G38" s="50" t="s">
        <v>74</v>
      </c>
      <c r="H38" s="50" t="s">
        <v>302</v>
      </c>
      <c r="I38" s="50" t="s">
        <v>295</v>
      </c>
      <c r="J38" s="50" t="s">
        <v>286</v>
      </c>
      <c r="K38" s="50" t="s">
        <v>287</v>
      </c>
      <c r="L38" s="50" t="s">
        <v>475</v>
      </c>
      <c r="M38" s="50" t="s">
        <v>212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6</v>
      </c>
      <c r="AH38" s="111">
        <v>5</v>
      </c>
      <c r="AI38" s="111">
        <v>5</v>
      </c>
      <c r="AJ38" s="111">
        <v>5</v>
      </c>
      <c r="AK38" s="111">
        <v>6</v>
      </c>
      <c r="AL38" s="50" t="s">
        <v>200</v>
      </c>
      <c r="AM38" s="50" t="s">
        <v>200</v>
      </c>
      <c r="AN38" s="50" t="s">
        <v>202</v>
      </c>
      <c r="AO38" s="50" t="s">
        <v>202</v>
      </c>
      <c r="AP38" s="50" t="s">
        <v>202</v>
      </c>
      <c r="AQ38" s="50" t="s">
        <v>200</v>
      </c>
      <c r="AR38" s="50" t="s">
        <v>200</v>
      </c>
      <c r="AS38" s="50" t="s">
        <v>202</v>
      </c>
      <c r="AT38" s="50" t="s">
        <v>371</v>
      </c>
      <c r="AU38" s="50" t="s">
        <v>577</v>
      </c>
      <c r="AV38" s="50" t="s">
        <v>91</v>
      </c>
      <c r="AW38" s="50" t="s">
        <v>286</v>
      </c>
      <c r="AX38" s="50" t="s">
        <v>287</v>
      </c>
      <c r="AY38" s="50" t="s">
        <v>613</v>
      </c>
      <c r="AZ38" s="111">
        <v>5</v>
      </c>
      <c r="BA38" s="50" t="s">
        <v>288</v>
      </c>
      <c r="BB38" s="50" t="s">
        <v>350</v>
      </c>
      <c r="BC38" s="50" t="s">
        <v>387</v>
      </c>
      <c r="BD38" s="50" t="s">
        <v>288</v>
      </c>
      <c r="BE38" s="50" t="s">
        <v>287</v>
      </c>
      <c r="BF38" s="50" t="s">
        <v>286</v>
      </c>
      <c r="BG38" s="50" t="s">
        <v>348</v>
      </c>
      <c r="BH38" s="50" t="s">
        <v>486</v>
      </c>
      <c r="BI38" s="50"/>
      <c r="BJ38" s="111">
        <v>5</v>
      </c>
      <c r="BK38" s="50"/>
      <c r="BL38" s="50" t="s">
        <v>287</v>
      </c>
      <c r="BM38" s="50" t="s">
        <v>287</v>
      </c>
      <c r="BN38" s="50" t="s">
        <v>287</v>
      </c>
      <c r="BO38" s="50" t="s">
        <v>287</v>
      </c>
      <c r="BP38" s="50" t="s">
        <v>287</v>
      </c>
      <c r="BQ38" s="50"/>
      <c r="BR38" s="111">
        <v>5</v>
      </c>
      <c r="BS38" s="50" t="s">
        <v>287</v>
      </c>
      <c r="BT38" s="50"/>
      <c r="BU38" s="111">
        <v>5</v>
      </c>
      <c r="BV38" s="50" t="s">
        <v>91</v>
      </c>
      <c r="BW38" s="50" t="s">
        <v>287</v>
      </c>
      <c r="BX38" s="50" t="s">
        <v>287</v>
      </c>
      <c r="BY38" s="50" t="s">
        <v>287</v>
      </c>
      <c r="BZ38" s="50" t="s">
        <v>287</v>
      </c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</row>
    <row r="39" spans="1:89" ht="16.5" customHeight="1" thickBot="1">
      <c r="A39" s="49">
        <v>46098.446875000001</v>
      </c>
      <c r="B39" s="50" t="s">
        <v>35</v>
      </c>
      <c r="C39" s="50" t="s">
        <v>45</v>
      </c>
      <c r="D39" s="50" t="s">
        <v>374</v>
      </c>
      <c r="E39" s="50" t="s">
        <v>61</v>
      </c>
      <c r="F39" s="50" t="s">
        <v>286</v>
      </c>
      <c r="G39" s="50" t="s">
        <v>292</v>
      </c>
      <c r="H39" s="50" t="s">
        <v>324</v>
      </c>
      <c r="I39" s="50" t="s">
        <v>295</v>
      </c>
      <c r="J39" s="50" t="s">
        <v>286</v>
      </c>
      <c r="K39" s="50" t="s">
        <v>287</v>
      </c>
      <c r="L39" s="50" t="s">
        <v>475</v>
      </c>
      <c r="M39" s="50" t="s">
        <v>212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6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6</v>
      </c>
      <c r="AH39" s="111">
        <v>5</v>
      </c>
      <c r="AI39" s="111">
        <v>5</v>
      </c>
      <c r="AJ39" s="111">
        <v>5</v>
      </c>
      <c r="AK39" s="111">
        <v>6</v>
      </c>
      <c r="AL39" s="50" t="s">
        <v>199</v>
      </c>
      <c r="AM39" s="50" t="s">
        <v>199</v>
      </c>
      <c r="AN39" s="50" t="s">
        <v>202</v>
      </c>
      <c r="AO39" s="50" t="s">
        <v>202</v>
      </c>
      <c r="AP39" s="50" t="s">
        <v>202</v>
      </c>
      <c r="AQ39" s="50" t="s">
        <v>199</v>
      </c>
      <c r="AR39" s="50" t="s">
        <v>202</v>
      </c>
      <c r="AS39" s="50" t="s">
        <v>202</v>
      </c>
      <c r="AT39" s="50" t="s">
        <v>371</v>
      </c>
      <c r="AU39" s="50" t="s">
        <v>389</v>
      </c>
      <c r="AV39" s="50" t="s">
        <v>91</v>
      </c>
      <c r="AW39" s="50" t="s">
        <v>286</v>
      </c>
      <c r="AX39" s="50" t="s">
        <v>287</v>
      </c>
      <c r="AY39" s="50" t="s">
        <v>476</v>
      </c>
      <c r="AZ39" s="111">
        <v>5</v>
      </c>
      <c r="BA39" s="50" t="s">
        <v>288</v>
      </c>
      <c r="BB39" s="50" t="s">
        <v>350</v>
      </c>
      <c r="BC39" s="50" t="s">
        <v>387</v>
      </c>
      <c r="BD39" s="50" t="s">
        <v>288</v>
      </c>
      <c r="BE39" s="50" t="s">
        <v>287</v>
      </c>
      <c r="BF39" s="50" t="s">
        <v>286</v>
      </c>
      <c r="BG39" s="50" t="s">
        <v>348</v>
      </c>
      <c r="BH39" s="50" t="s">
        <v>486</v>
      </c>
      <c r="BI39" s="50"/>
      <c r="BJ39" s="111">
        <v>5</v>
      </c>
      <c r="BK39" s="50"/>
      <c r="BL39" s="50" t="s">
        <v>287</v>
      </c>
      <c r="BM39" s="50" t="s">
        <v>287</v>
      </c>
      <c r="BN39" s="50" t="s">
        <v>287</v>
      </c>
      <c r="BO39" s="50" t="s">
        <v>287</v>
      </c>
      <c r="BP39" s="50" t="s">
        <v>287</v>
      </c>
      <c r="BQ39" s="50"/>
      <c r="BR39" s="111">
        <v>5</v>
      </c>
      <c r="BS39" s="50" t="s">
        <v>287</v>
      </c>
      <c r="BT39" s="50"/>
      <c r="BU39" s="111">
        <v>5</v>
      </c>
      <c r="BV39" s="50" t="s">
        <v>287</v>
      </c>
      <c r="BW39" s="50" t="s">
        <v>287</v>
      </c>
      <c r="BX39" s="50" t="s">
        <v>287</v>
      </c>
      <c r="BY39" s="50" t="s">
        <v>287</v>
      </c>
      <c r="BZ39" s="50" t="s">
        <v>287</v>
      </c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</row>
    <row r="40" spans="1:89" ht="16.5" customHeight="1" thickBot="1">
      <c r="A40" s="49">
        <v>46098.451967592591</v>
      </c>
      <c r="B40" s="50" t="s">
        <v>39</v>
      </c>
      <c r="C40" s="50" t="s">
        <v>46</v>
      </c>
      <c r="D40" s="50" t="s">
        <v>374</v>
      </c>
      <c r="E40" s="50" t="s">
        <v>61</v>
      </c>
      <c r="F40" s="50" t="s">
        <v>286</v>
      </c>
      <c r="G40" s="50" t="s">
        <v>74</v>
      </c>
      <c r="H40" s="50" t="s">
        <v>347</v>
      </c>
      <c r="I40" s="50" t="s">
        <v>91</v>
      </c>
      <c r="J40" s="50" t="s">
        <v>286</v>
      </c>
      <c r="K40" s="50" t="s">
        <v>287</v>
      </c>
      <c r="L40" s="50" t="s">
        <v>286</v>
      </c>
      <c r="M40" s="50" t="s">
        <v>147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6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6</v>
      </c>
      <c r="AH40" s="111">
        <v>5</v>
      </c>
      <c r="AI40" s="111">
        <v>5</v>
      </c>
      <c r="AJ40" s="111">
        <v>5</v>
      </c>
      <c r="AK40" s="111">
        <v>6</v>
      </c>
      <c r="AL40" s="50" t="s">
        <v>199</v>
      </c>
      <c r="AM40" s="50" t="s">
        <v>199</v>
      </c>
      <c r="AN40" s="50" t="s">
        <v>202</v>
      </c>
      <c r="AO40" s="50" t="s">
        <v>202</v>
      </c>
      <c r="AP40" s="50" t="s">
        <v>202</v>
      </c>
      <c r="AQ40" s="50" t="s">
        <v>202</v>
      </c>
      <c r="AR40" s="50" t="s">
        <v>202</v>
      </c>
      <c r="AS40" s="50" t="s">
        <v>202</v>
      </c>
      <c r="AT40" s="50" t="s">
        <v>371</v>
      </c>
      <c r="AU40" s="50" t="s">
        <v>318</v>
      </c>
      <c r="AV40" s="50" t="s">
        <v>91</v>
      </c>
      <c r="AW40" s="50" t="s">
        <v>286</v>
      </c>
      <c r="AX40" s="50" t="s">
        <v>287</v>
      </c>
      <c r="AY40" s="50" t="s">
        <v>476</v>
      </c>
      <c r="AZ40" s="111">
        <v>5</v>
      </c>
      <c r="BA40" s="50" t="s">
        <v>288</v>
      </c>
      <c r="BB40" s="50" t="s">
        <v>350</v>
      </c>
      <c r="BC40" s="50" t="s">
        <v>387</v>
      </c>
      <c r="BD40" s="50" t="s">
        <v>288</v>
      </c>
      <c r="BE40" s="50" t="s">
        <v>287</v>
      </c>
      <c r="BF40" s="50" t="s">
        <v>286</v>
      </c>
      <c r="BG40" s="50" t="s">
        <v>348</v>
      </c>
      <c r="BH40" s="50" t="s">
        <v>486</v>
      </c>
      <c r="BI40" s="50"/>
      <c r="BJ40" s="111">
        <v>5</v>
      </c>
      <c r="BK40" s="50"/>
      <c r="BL40" s="50" t="s">
        <v>287</v>
      </c>
      <c r="BM40" s="50" t="s">
        <v>287</v>
      </c>
      <c r="BN40" s="50" t="s">
        <v>287</v>
      </c>
      <c r="BO40" s="50" t="s">
        <v>287</v>
      </c>
      <c r="BP40" s="50" t="s">
        <v>287</v>
      </c>
      <c r="BQ40" s="50"/>
      <c r="BR40" s="111">
        <v>5</v>
      </c>
      <c r="BS40" s="50" t="s">
        <v>287</v>
      </c>
      <c r="BT40" s="50"/>
      <c r="BU40" s="111">
        <v>5</v>
      </c>
      <c r="BV40" s="50" t="s">
        <v>287</v>
      </c>
      <c r="BW40" s="50" t="s">
        <v>287</v>
      </c>
      <c r="BX40" s="50" t="s">
        <v>287</v>
      </c>
      <c r="BY40" s="50" t="s">
        <v>287</v>
      </c>
      <c r="BZ40" s="50" t="s">
        <v>287</v>
      </c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</row>
    <row r="41" spans="1:89" ht="16.5" customHeight="1" thickBot="1">
      <c r="A41" s="49">
        <v>46101.317824074074</v>
      </c>
      <c r="B41" s="50" t="s">
        <v>40</v>
      </c>
      <c r="C41" s="50" t="s">
        <v>46</v>
      </c>
      <c r="D41" s="50" t="s">
        <v>374</v>
      </c>
      <c r="E41" s="50" t="s">
        <v>61</v>
      </c>
      <c r="F41" s="50" t="s">
        <v>286</v>
      </c>
      <c r="G41" s="50" t="s">
        <v>74</v>
      </c>
      <c r="H41" s="50" t="s">
        <v>588</v>
      </c>
      <c r="I41" s="50" t="s">
        <v>91</v>
      </c>
      <c r="J41" s="50" t="s">
        <v>286</v>
      </c>
      <c r="K41" s="50" t="s">
        <v>291</v>
      </c>
      <c r="L41" s="50" t="s">
        <v>286</v>
      </c>
      <c r="M41" s="50" t="s">
        <v>147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6</v>
      </c>
      <c r="T41" s="111">
        <v>6</v>
      </c>
      <c r="U41" s="111">
        <v>6</v>
      </c>
      <c r="V41" s="111">
        <v>5</v>
      </c>
      <c r="W41" s="111">
        <v>5</v>
      </c>
      <c r="X41" s="111">
        <v>6</v>
      </c>
      <c r="Y41" s="111">
        <v>6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6</v>
      </c>
      <c r="AH41" s="111">
        <v>5</v>
      </c>
      <c r="AI41" s="111">
        <v>5</v>
      </c>
      <c r="AJ41" s="111">
        <v>5</v>
      </c>
      <c r="AK41" s="111">
        <v>5</v>
      </c>
      <c r="AL41" s="50" t="s">
        <v>199</v>
      </c>
      <c r="AM41" s="50" t="s">
        <v>199</v>
      </c>
      <c r="AN41" s="50" t="s">
        <v>202</v>
      </c>
      <c r="AO41" s="50" t="s">
        <v>202</v>
      </c>
      <c r="AP41" s="50" t="s">
        <v>202</v>
      </c>
      <c r="AQ41" s="50" t="s">
        <v>202</v>
      </c>
      <c r="AR41" s="50" t="s">
        <v>202</v>
      </c>
      <c r="AS41" s="50" t="s">
        <v>202</v>
      </c>
      <c r="AT41" s="50" t="s">
        <v>371</v>
      </c>
      <c r="AU41" s="50" t="s">
        <v>399</v>
      </c>
      <c r="AV41" s="50" t="s">
        <v>91</v>
      </c>
      <c r="AW41" s="50" t="s">
        <v>286</v>
      </c>
      <c r="AX41" s="50" t="s">
        <v>287</v>
      </c>
      <c r="AY41" s="50" t="s">
        <v>485</v>
      </c>
      <c r="AZ41" s="111">
        <v>5</v>
      </c>
      <c r="BA41" s="50" t="s">
        <v>288</v>
      </c>
      <c r="BB41" s="50" t="s">
        <v>350</v>
      </c>
      <c r="BC41" s="50" t="s">
        <v>294</v>
      </c>
      <c r="BD41" s="50" t="s">
        <v>288</v>
      </c>
      <c r="BE41" s="50" t="s">
        <v>287</v>
      </c>
      <c r="BF41" s="50" t="s">
        <v>286</v>
      </c>
      <c r="BG41" s="50" t="s">
        <v>348</v>
      </c>
      <c r="BH41" s="50" t="s">
        <v>486</v>
      </c>
      <c r="BI41" s="50"/>
      <c r="BJ41" s="111">
        <v>5</v>
      </c>
      <c r="BK41" s="50"/>
      <c r="BL41" s="50" t="s">
        <v>287</v>
      </c>
      <c r="BM41" s="50" t="s">
        <v>287</v>
      </c>
      <c r="BN41" s="50" t="s">
        <v>287</v>
      </c>
      <c r="BO41" s="50" t="s">
        <v>287</v>
      </c>
      <c r="BP41" s="50" t="s">
        <v>287</v>
      </c>
      <c r="BQ41" s="50"/>
      <c r="BR41" s="111">
        <v>5</v>
      </c>
      <c r="BS41" s="50" t="s">
        <v>287</v>
      </c>
      <c r="BT41" s="50"/>
      <c r="BU41" s="111">
        <v>5</v>
      </c>
      <c r="BV41" s="50" t="s">
        <v>287</v>
      </c>
      <c r="BW41" s="50" t="s">
        <v>91</v>
      </c>
      <c r="BX41" s="50" t="s">
        <v>91</v>
      </c>
      <c r="BY41" s="50" t="s">
        <v>91</v>
      </c>
      <c r="BZ41" s="50" t="s">
        <v>91</v>
      </c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</row>
    <row r="42" spans="1:89" ht="16.5" customHeight="1" thickBot="1">
      <c r="A42" s="49">
        <v>46101.31994212963</v>
      </c>
      <c r="B42" s="50" t="s">
        <v>40</v>
      </c>
      <c r="C42" s="50" t="s">
        <v>46</v>
      </c>
      <c r="D42" s="50" t="s">
        <v>374</v>
      </c>
      <c r="E42" s="50" t="s">
        <v>61</v>
      </c>
      <c r="F42" s="50" t="s">
        <v>286</v>
      </c>
      <c r="G42" s="50" t="s">
        <v>73</v>
      </c>
      <c r="H42" s="50" t="s">
        <v>307</v>
      </c>
      <c r="I42" s="50" t="s">
        <v>91</v>
      </c>
      <c r="J42" s="50" t="s">
        <v>286</v>
      </c>
      <c r="K42" s="50" t="s">
        <v>291</v>
      </c>
      <c r="L42" s="50" t="s">
        <v>286</v>
      </c>
      <c r="M42" s="50" t="s">
        <v>147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6</v>
      </c>
      <c r="T42" s="111">
        <v>6</v>
      </c>
      <c r="U42" s="111">
        <v>6</v>
      </c>
      <c r="V42" s="111">
        <v>5</v>
      </c>
      <c r="W42" s="111">
        <v>5</v>
      </c>
      <c r="X42" s="111">
        <v>6</v>
      </c>
      <c r="Y42" s="111">
        <v>6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6</v>
      </c>
      <c r="AH42" s="111">
        <v>5</v>
      </c>
      <c r="AI42" s="111">
        <v>5</v>
      </c>
      <c r="AJ42" s="111">
        <v>5</v>
      </c>
      <c r="AK42" s="111">
        <v>5</v>
      </c>
      <c r="AL42" s="50" t="s">
        <v>199</v>
      </c>
      <c r="AM42" s="50" t="s">
        <v>199</v>
      </c>
      <c r="AN42" s="50" t="s">
        <v>202</v>
      </c>
      <c r="AO42" s="50" t="s">
        <v>202</v>
      </c>
      <c r="AP42" s="50" t="s">
        <v>202</v>
      </c>
      <c r="AQ42" s="50" t="s">
        <v>200</v>
      </c>
      <c r="AR42" s="50" t="s">
        <v>202</v>
      </c>
      <c r="AS42" s="50" t="s">
        <v>202</v>
      </c>
      <c r="AT42" s="50" t="s">
        <v>371</v>
      </c>
      <c r="AU42" s="50" t="s">
        <v>480</v>
      </c>
      <c r="AV42" s="50" t="s">
        <v>91</v>
      </c>
      <c r="AW42" s="50" t="s">
        <v>286</v>
      </c>
      <c r="AX42" s="50" t="s">
        <v>287</v>
      </c>
      <c r="AY42" s="50" t="s">
        <v>476</v>
      </c>
      <c r="AZ42" s="111">
        <v>5</v>
      </c>
      <c r="BA42" s="50" t="s">
        <v>288</v>
      </c>
      <c r="BB42" s="50" t="s">
        <v>350</v>
      </c>
      <c r="BC42" s="50" t="s">
        <v>387</v>
      </c>
      <c r="BD42" s="50" t="s">
        <v>288</v>
      </c>
      <c r="BE42" s="50" t="s">
        <v>287</v>
      </c>
      <c r="BF42" s="50" t="s">
        <v>286</v>
      </c>
      <c r="BG42" s="50" t="s">
        <v>348</v>
      </c>
      <c r="BH42" s="50" t="s">
        <v>486</v>
      </c>
      <c r="BI42" s="50"/>
      <c r="BJ42" s="111">
        <v>5</v>
      </c>
      <c r="BK42" s="50"/>
      <c r="BL42" s="50" t="s">
        <v>287</v>
      </c>
      <c r="BM42" s="50" t="s">
        <v>287</v>
      </c>
      <c r="BN42" s="50" t="s">
        <v>287</v>
      </c>
      <c r="BO42" s="50" t="s">
        <v>287</v>
      </c>
      <c r="BP42" s="50" t="s">
        <v>287</v>
      </c>
      <c r="BQ42" s="50"/>
      <c r="BR42" s="111">
        <v>5</v>
      </c>
      <c r="BS42" s="50" t="s">
        <v>287</v>
      </c>
      <c r="BT42" s="50"/>
      <c r="BU42" s="111">
        <v>5</v>
      </c>
      <c r="BV42" s="50" t="s">
        <v>287</v>
      </c>
      <c r="BW42" s="50" t="s">
        <v>91</v>
      </c>
      <c r="BX42" s="50" t="s">
        <v>91</v>
      </c>
      <c r="BY42" s="50" t="s">
        <v>91</v>
      </c>
      <c r="BZ42" s="50" t="s">
        <v>91</v>
      </c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</row>
    <row r="43" spans="1:89" ht="16.5" customHeight="1" thickBot="1">
      <c r="A43" s="49">
        <v>46101.322060185186</v>
      </c>
      <c r="B43" s="50" t="s">
        <v>40</v>
      </c>
      <c r="C43" s="50" t="s">
        <v>45</v>
      </c>
      <c r="D43" s="50" t="s">
        <v>374</v>
      </c>
      <c r="E43" s="50" t="s">
        <v>61</v>
      </c>
      <c r="F43" s="50" t="s">
        <v>286</v>
      </c>
      <c r="G43" s="50" t="s">
        <v>73</v>
      </c>
      <c r="H43" s="50" t="s">
        <v>356</v>
      </c>
      <c r="I43" s="50" t="s">
        <v>81</v>
      </c>
      <c r="J43" s="50" t="s">
        <v>286</v>
      </c>
      <c r="K43" s="50" t="s">
        <v>287</v>
      </c>
      <c r="L43" s="50" t="s">
        <v>379</v>
      </c>
      <c r="M43" s="50" t="s">
        <v>147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6</v>
      </c>
      <c r="T43" s="111">
        <v>6</v>
      </c>
      <c r="U43" s="111">
        <v>6</v>
      </c>
      <c r="V43" s="111">
        <v>5</v>
      </c>
      <c r="W43" s="111">
        <v>6</v>
      </c>
      <c r="X43" s="111">
        <v>6</v>
      </c>
      <c r="Y43" s="111">
        <v>6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6</v>
      </c>
      <c r="AH43" s="111">
        <v>5</v>
      </c>
      <c r="AI43" s="111">
        <v>5</v>
      </c>
      <c r="AJ43" s="111">
        <v>4</v>
      </c>
      <c r="AK43" s="111">
        <v>6</v>
      </c>
      <c r="AL43" s="50" t="s">
        <v>200</v>
      </c>
      <c r="AM43" s="50" t="s">
        <v>200</v>
      </c>
      <c r="AN43" s="50" t="s">
        <v>202</v>
      </c>
      <c r="AO43" s="50" t="s">
        <v>202</v>
      </c>
      <c r="AP43" s="50" t="s">
        <v>202</v>
      </c>
      <c r="AQ43" s="50" t="s">
        <v>200</v>
      </c>
      <c r="AR43" s="50" t="s">
        <v>202</v>
      </c>
      <c r="AS43" s="50" t="s">
        <v>202</v>
      </c>
      <c r="AT43" s="50" t="s">
        <v>371</v>
      </c>
      <c r="AU43" s="50" t="s">
        <v>443</v>
      </c>
      <c r="AV43" s="50" t="s">
        <v>91</v>
      </c>
      <c r="AW43" s="50" t="s">
        <v>286</v>
      </c>
      <c r="AX43" s="50" t="s">
        <v>287</v>
      </c>
      <c r="AY43" s="50" t="s">
        <v>476</v>
      </c>
      <c r="AZ43" s="111">
        <v>5</v>
      </c>
      <c r="BA43" s="50" t="s">
        <v>288</v>
      </c>
      <c r="BB43" s="50" t="s">
        <v>350</v>
      </c>
      <c r="BC43" s="50" t="s">
        <v>387</v>
      </c>
      <c r="BD43" s="50" t="s">
        <v>288</v>
      </c>
      <c r="BE43" s="50" t="s">
        <v>287</v>
      </c>
      <c r="BF43" s="50" t="s">
        <v>286</v>
      </c>
      <c r="BG43" s="50" t="s">
        <v>348</v>
      </c>
      <c r="BH43" s="50" t="s">
        <v>486</v>
      </c>
      <c r="BI43" s="50"/>
      <c r="BJ43" s="111">
        <v>5</v>
      </c>
      <c r="BK43" s="50"/>
      <c r="BL43" s="50" t="s">
        <v>287</v>
      </c>
      <c r="BM43" s="50" t="s">
        <v>287</v>
      </c>
      <c r="BN43" s="50" t="s">
        <v>287</v>
      </c>
      <c r="BO43" s="50" t="s">
        <v>287</v>
      </c>
      <c r="BP43" s="50" t="s">
        <v>287</v>
      </c>
      <c r="BQ43" s="50"/>
      <c r="BR43" s="111">
        <v>5</v>
      </c>
      <c r="BS43" s="50" t="s">
        <v>287</v>
      </c>
      <c r="BT43" s="50"/>
      <c r="BU43" s="111">
        <v>5</v>
      </c>
      <c r="BV43" s="50" t="s">
        <v>287</v>
      </c>
      <c r="BW43" s="50" t="s">
        <v>91</v>
      </c>
      <c r="BX43" s="50" t="s">
        <v>91</v>
      </c>
      <c r="BY43" s="50" t="s">
        <v>91</v>
      </c>
      <c r="BZ43" s="50" t="s">
        <v>91</v>
      </c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</row>
    <row r="44" spans="1:89" ht="16.5" customHeight="1" thickBot="1">
      <c r="A44" s="49">
        <v>46101.323819444442</v>
      </c>
      <c r="B44" s="50" t="s">
        <v>40</v>
      </c>
      <c r="C44" s="50" t="s">
        <v>46</v>
      </c>
      <c r="D44" s="50" t="s">
        <v>369</v>
      </c>
      <c r="E44" s="50" t="s">
        <v>285</v>
      </c>
      <c r="F44" s="50" t="s">
        <v>286</v>
      </c>
      <c r="G44" s="50" t="s">
        <v>74</v>
      </c>
      <c r="H44" s="50" t="s">
        <v>365</v>
      </c>
      <c r="I44" s="50" t="s">
        <v>91</v>
      </c>
      <c r="J44" s="50" t="s">
        <v>286</v>
      </c>
      <c r="K44" s="50" t="s">
        <v>291</v>
      </c>
      <c r="L44" s="50" t="s">
        <v>286</v>
      </c>
      <c r="M44" s="50" t="s">
        <v>147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6</v>
      </c>
      <c r="T44" s="111">
        <v>6</v>
      </c>
      <c r="U44" s="111">
        <v>6</v>
      </c>
      <c r="V44" s="111">
        <v>5</v>
      </c>
      <c r="W44" s="111">
        <v>6</v>
      </c>
      <c r="X44" s="111">
        <v>6</v>
      </c>
      <c r="Y44" s="111">
        <v>6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6</v>
      </c>
      <c r="AH44" s="111">
        <v>5</v>
      </c>
      <c r="AI44" s="111">
        <v>5</v>
      </c>
      <c r="AJ44" s="111">
        <v>5</v>
      </c>
      <c r="AK44" s="111">
        <v>6</v>
      </c>
      <c r="AL44" s="50" t="s">
        <v>200</v>
      </c>
      <c r="AM44" s="50" t="s">
        <v>200</v>
      </c>
      <c r="AN44" s="50" t="s">
        <v>202</v>
      </c>
      <c r="AO44" s="50" t="s">
        <v>202</v>
      </c>
      <c r="AP44" s="50" t="s">
        <v>202</v>
      </c>
      <c r="AQ44" s="50" t="s">
        <v>200</v>
      </c>
      <c r="AR44" s="50" t="s">
        <v>202</v>
      </c>
      <c r="AS44" s="50" t="s">
        <v>202</v>
      </c>
      <c r="AT44" s="50" t="s">
        <v>371</v>
      </c>
      <c r="AU44" s="50" t="s">
        <v>480</v>
      </c>
      <c r="AV44" s="50" t="s">
        <v>91</v>
      </c>
      <c r="AW44" s="50" t="s">
        <v>286</v>
      </c>
      <c r="AX44" s="50" t="s">
        <v>287</v>
      </c>
      <c r="AY44" s="50" t="s">
        <v>477</v>
      </c>
      <c r="AZ44" s="111">
        <v>5</v>
      </c>
      <c r="BA44" s="50" t="s">
        <v>288</v>
      </c>
      <c r="BB44" s="50" t="s">
        <v>350</v>
      </c>
      <c r="BC44" s="50" t="s">
        <v>387</v>
      </c>
      <c r="BD44" s="50" t="s">
        <v>288</v>
      </c>
      <c r="BE44" s="50" t="s">
        <v>287</v>
      </c>
      <c r="BF44" s="50" t="s">
        <v>286</v>
      </c>
      <c r="BG44" s="50" t="s">
        <v>348</v>
      </c>
      <c r="BH44" s="50" t="s">
        <v>486</v>
      </c>
      <c r="BI44" s="50"/>
      <c r="BJ44" s="111">
        <v>5</v>
      </c>
      <c r="BK44" s="50"/>
      <c r="BL44" s="50" t="s">
        <v>287</v>
      </c>
      <c r="BM44" s="50" t="s">
        <v>287</v>
      </c>
      <c r="BN44" s="50" t="s">
        <v>287</v>
      </c>
      <c r="BO44" s="50" t="s">
        <v>287</v>
      </c>
      <c r="BP44" s="50" t="s">
        <v>287</v>
      </c>
      <c r="BQ44" s="50"/>
      <c r="BR44" s="111">
        <v>5</v>
      </c>
      <c r="BS44" s="50" t="s">
        <v>287</v>
      </c>
      <c r="BT44" s="50"/>
      <c r="BU44" s="111">
        <v>5</v>
      </c>
      <c r="BV44" s="50" t="s">
        <v>287</v>
      </c>
      <c r="BW44" s="50" t="s">
        <v>91</v>
      </c>
      <c r="BX44" s="50" t="s">
        <v>91</v>
      </c>
      <c r="BY44" s="50" t="s">
        <v>91</v>
      </c>
      <c r="BZ44" s="50" t="s">
        <v>91</v>
      </c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</row>
    <row r="45" spans="1:89" ht="16.5" customHeight="1" thickBot="1">
      <c r="A45" s="49">
        <v>46101.336608796293</v>
      </c>
      <c r="B45" s="50" t="s">
        <v>40</v>
      </c>
      <c r="C45" s="50" t="s">
        <v>46</v>
      </c>
      <c r="D45" s="50" t="s">
        <v>369</v>
      </c>
      <c r="E45" s="50" t="s">
        <v>285</v>
      </c>
      <c r="F45" s="50"/>
      <c r="G45" s="50" t="s">
        <v>73</v>
      </c>
      <c r="H45" s="50" t="s">
        <v>614</v>
      </c>
      <c r="I45" s="50" t="s">
        <v>81</v>
      </c>
      <c r="J45" s="50" t="s">
        <v>286</v>
      </c>
      <c r="K45" s="50" t="s">
        <v>287</v>
      </c>
      <c r="L45" s="50" t="s">
        <v>7</v>
      </c>
      <c r="M45" s="50" t="s">
        <v>146</v>
      </c>
      <c r="N45" s="111">
        <v>4</v>
      </c>
      <c r="O45" s="111">
        <v>4</v>
      </c>
      <c r="P45" s="111">
        <v>4</v>
      </c>
      <c r="Q45" s="111">
        <v>4</v>
      </c>
      <c r="R45" s="111">
        <v>4</v>
      </c>
      <c r="S45" s="111">
        <v>4</v>
      </c>
      <c r="T45" s="111">
        <v>4</v>
      </c>
      <c r="U45" s="111">
        <v>4</v>
      </c>
      <c r="V45" s="111">
        <v>4</v>
      </c>
      <c r="W45" s="111">
        <v>4</v>
      </c>
      <c r="X45" s="111">
        <v>4</v>
      </c>
      <c r="Y45" s="111">
        <v>4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6</v>
      </c>
      <c r="AH45" s="111">
        <v>5</v>
      </c>
      <c r="AI45" s="111">
        <v>5</v>
      </c>
      <c r="AJ45" s="111">
        <v>5</v>
      </c>
      <c r="AK45" s="111">
        <v>5</v>
      </c>
      <c r="AL45" s="50" t="s">
        <v>200</v>
      </c>
      <c r="AM45" s="50" t="s">
        <v>200</v>
      </c>
      <c r="AN45" s="50" t="s">
        <v>200</v>
      </c>
      <c r="AO45" s="50" t="s">
        <v>202</v>
      </c>
      <c r="AP45" s="50" t="s">
        <v>200</v>
      </c>
      <c r="AQ45" s="50" t="s">
        <v>200</v>
      </c>
      <c r="AR45" s="50" t="s">
        <v>200</v>
      </c>
      <c r="AS45" s="50" t="s">
        <v>202</v>
      </c>
      <c r="AT45" s="50" t="s">
        <v>371</v>
      </c>
      <c r="AU45" s="50" t="s">
        <v>444</v>
      </c>
      <c r="AV45" s="50" t="s">
        <v>91</v>
      </c>
      <c r="AW45" s="50" t="s">
        <v>286</v>
      </c>
      <c r="AX45" s="50" t="s">
        <v>287</v>
      </c>
      <c r="AY45" s="50" t="s">
        <v>476</v>
      </c>
      <c r="AZ45" s="111">
        <v>5</v>
      </c>
      <c r="BA45" s="50" t="s">
        <v>288</v>
      </c>
      <c r="BB45" s="50" t="s">
        <v>350</v>
      </c>
      <c r="BC45" s="50" t="s">
        <v>387</v>
      </c>
      <c r="BD45" s="50" t="s">
        <v>288</v>
      </c>
      <c r="BE45" s="50" t="s">
        <v>287</v>
      </c>
      <c r="BF45" s="50" t="s">
        <v>286</v>
      </c>
      <c r="BG45" s="50" t="s">
        <v>348</v>
      </c>
      <c r="BH45" s="50" t="s">
        <v>486</v>
      </c>
      <c r="BI45" s="50"/>
      <c r="BJ45" s="111">
        <v>5</v>
      </c>
      <c r="BK45" s="50"/>
      <c r="BL45" s="50" t="s">
        <v>287</v>
      </c>
      <c r="BM45" s="50" t="s">
        <v>287</v>
      </c>
      <c r="BN45" s="50" t="s">
        <v>287</v>
      </c>
      <c r="BO45" s="50" t="s">
        <v>287</v>
      </c>
      <c r="BP45" s="50" t="s">
        <v>287</v>
      </c>
      <c r="BQ45" s="50"/>
      <c r="BR45" s="111">
        <v>5</v>
      </c>
      <c r="BS45" s="50" t="s">
        <v>287</v>
      </c>
      <c r="BT45" s="50"/>
      <c r="BU45" s="111">
        <v>5</v>
      </c>
      <c r="BV45" s="50" t="s">
        <v>287</v>
      </c>
      <c r="BW45" s="50" t="s">
        <v>287</v>
      </c>
      <c r="BX45" s="50" t="s">
        <v>287</v>
      </c>
      <c r="BY45" s="50" t="s">
        <v>287</v>
      </c>
      <c r="BZ45" s="50" t="s">
        <v>287</v>
      </c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</row>
    <row r="46" spans="1:89" ht="16.5" customHeight="1" thickBot="1">
      <c r="A46" s="49">
        <v>46101.338553240741</v>
      </c>
      <c r="B46" s="50" t="s">
        <v>36</v>
      </c>
      <c r="C46" s="50" t="s">
        <v>46</v>
      </c>
      <c r="D46" s="50" t="s">
        <v>369</v>
      </c>
      <c r="E46" s="50" t="s">
        <v>285</v>
      </c>
      <c r="F46" s="50" t="s">
        <v>286</v>
      </c>
      <c r="G46" s="50" t="s">
        <v>74</v>
      </c>
      <c r="H46" s="50" t="s">
        <v>302</v>
      </c>
      <c r="I46" s="50" t="s">
        <v>91</v>
      </c>
      <c r="J46" s="50" t="s">
        <v>286</v>
      </c>
      <c r="K46" s="50" t="s">
        <v>291</v>
      </c>
      <c r="L46" s="50" t="s">
        <v>286</v>
      </c>
      <c r="M46" s="50" t="s">
        <v>146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6</v>
      </c>
      <c r="AH46" s="111">
        <v>5</v>
      </c>
      <c r="AI46" s="111">
        <v>5</v>
      </c>
      <c r="AJ46" s="111">
        <v>5</v>
      </c>
      <c r="AK46" s="111">
        <v>5</v>
      </c>
      <c r="AL46" s="50" t="s">
        <v>200</v>
      </c>
      <c r="AM46" s="50" t="s">
        <v>200</v>
      </c>
      <c r="AN46" s="50" t="s">
        <v>202</v>
      </c>
      <c r="AO46" s="50" t="s">
        <v>202</v>
      </c>
      <c r="AP46" s="50" t="s">
        <v>200</v>
      </c>
      <c r="AQ46" s="50" t="s">
        <v>200</v>
      </c>
      <c r="AR46" s="50" t="s">
        <v>200</v>
      </c>
      <c r="AS46" s="50" t="s">
        <v>200</v>
      </c>
      <c r="AT46" s="50" t="s">
        <v>499</v>
      </c>
      <c r="AU46" s="50" t="s">
        <v>399</v>
      </c>
      <c r="AV46" s="50" t="s">
        <v>91</v>
      </c>
      <c r="AW46" s="50" t="s">
        <v>286</v>
      </c>
      <c r="AX46" s="50" t="s">
        <v>287</v>
      </c>
      <c r="AY46" s="50" t="s">
        <v>476</v>
      </c>
      <c r="AZ46" s="111">
        <v>5</v>
      </c>
      <c r="BA46" s="50" t="s">
        <v>288</v>
      </c>
      <c r="BB46" s="50" t="s">
        <v>350</v>
      </c>
      <c r="BC46" s="50" t="s">
        <v>387</v>
      </c>
      <c r="BD46" s="50" t="s">
        <v>288</v>
      </c>
      <c r="BE46" s="50" t="s">
        <v>287</v>
      </c>
      <c r="BF46" s="50" t="s">
        <v>286</v>
      </c>
      <c r="BG46" s="50" t="s">
        <v>348</v>
      </c>
      <c r="BH46" s="50" t="s">
        <v>486</v>
      </c>
      <c r="BI46" s="50"/>
      <c r="BJ46" s="111">
        <v>5</v>
      </c>
      <c r="BK46" s="50"/>
      <c r="BL46" s="50" t="s">
        <v>287</v>
      </c>
      <c r="BM46" s="50" t="s">
        <v>287</v>
      </c>
      <c r="BN46" s="50" t="s">
        <v>287</v>
      </c>
      <c r="BO46" s="50" t="s">
        <v>287</v>
      </c>
      <c r="BP46" s="50" t="s">
        <v>287</v>
      </c>
      <c r="BQ46" s="50"/>
      <c r="BR46" s="111">
        <v>5</v>
      </c>
      <c r="BS46" s="50" t="s">
        <v>287</v>
      </c>
      <c r="BT46" s="50"/>
      <c r="BU46" s="111">
        <v>5</v>
      </c>
      <c r="BV46" s="50" t="s">
        <v>287</v>
      </c>
      <c r="BW46" s="50" t="s">
        <v>287</v>
      </c>
      <c r="BX46" s="50" t="s">
        <v>287</v>
      </c>
      <c r="BY46" s="50" t="s">
        <v>287</v>
      </c>
      <c r="BZ46" s="50" t="s">
        <v>287</v>
      </c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</row>
    <row r="47" spans="1:89" ht="16.5" customHeight="1" thickBot="1">
      <c r="A47" s="49">
        <v>46101.340462962966</v>
      </c>
      <c r="B47" s="50" t="s">
        <v>38</v>
      </c>
      <c r="C47" s="50" t="s">
        <v>45</v>
      </c>
      <c r="D47" s="50" t="s">
        <v>374</v>
      </c>
      <c r="E47" s="50" t="s">
        <v>61</v>
      </c>
      <c r="F47" s="50" t="s">
        <v>286</v>
      </c>
      <c r="G47" s="50" t="s">
        <v>73</v>
      </c>
      <c r="H47" s="50" t="s">
        <v>335</v>
      </c>
      <c r="I47" s="50" t="s">
        <v>91</v>
      </c>
      <c r="J47" s="50" t="s">
        <v>286</v>
      </c>
      <c r="K47" s="50" t="s">
        <v>291</v>
      </c>
      <c r="L47" s="50" t="s">
        <v>286</v>
      </c>
      <c r="M47" s="50" t="s">
        <v>146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6</v>
      </c>
      <c r="AH47" s="111">
        <v>5</v>
      </c>
      <c r="AI47" s="111">
        <v>5</v>
      </c>
      <c r="AJ47" s="111">
        <v>5</v>
      </c>
      <c r="AK47" s="111">
        <v>6</v>
      </c>
      <c r="AL47" s="50" t="s">
        <v>200</v>
      </c>
      <c r="AM47" s="50" t="s">
        <v>200</v>
      </c>
      <c r="AN47" s="50" t="s">
        <v>202</v>
      </c>
      <c r="AO47" s="50" t="s">
        <v>202</v>
      </c>
      <c r="AP47" s="50" t="s">
        <v>200</v>
      </c>
      <c r="AQ47" s="50" t="s">
        <v>200</v>
      </c>
      <c r="AR47" s="50" t="s">
        <v>200</v>
      </c>
      <c r="AS47" s="50" t="s">
        <v>202</v>
      </c>
      <c r="AT47" s="50" t="s">
        <v>371</v>
      </c>
      <c r="AU47" s="50" t="s">
        <v>479</v>
      </c>
      <c r="AV47" s="50" t="s">
        <v>91</v>
      </c>
      <c r="AW47" s="50" t="s">
        <v>286</v>
      </c>
      <c r="AX47" s="50" t="s">
        <v>287</v>
      </c>
      <c r="AY47" s="50" t="s">
        <v>476</v>
      </c>
      <c r="AZ47" s="111">
        <v>5</v>
      </c>
      <c r="BA47" s="50" t="s">
        <v>288</v>
      </c>
      <c r="BB47" s="50" t="s">
        <v>350</v>
      </c>
      <c r="BC47" s="50" t="s">
        <v>387</v>
      </c>
      <c r="BD47" s="50" t="s">
        <v>288</v>
      </c>
      <c r="BE47" s="50" t="s">
        <v>287</v>
      </c>
      <c r="BF47" s="50" t="s">
        <v>286</v>
      </c>
      <c r="BG47" s="50" t="s">
        <v>348</v>
      </c>
      <c r="BH47" s="50" t="s">
        <v>486</v>
      </c>
      <c r="BI47" s="50"/>
      <c r="BJ47" s="111">
        <v>5</v>
      </c>
      <c r="BK47" s="50"/>
      <c r="BL47" s="50" t="s">
        <v>287</v>
      </c>
      <c r="BM47" s="50" t="s">
        <v>287</v>
      </c>
      <c r="BN47" s="50" t="s">
        <v>287</v>
      </c>
      <c r="BO47" s="50" t="s">
        <v>287</v>
      </c>
      <c r="BP47" s="50" t="s">
        <v>287</v>
      </c>
      <c r="BQ47" s="50"/>
      <c r="BR47" s="111">
        <v>5</v>
      </c>
      <c r="BS47" s="50" t="s">
        <v>287</v>
      </c>
      <c r="BT47" s="50"/>
      <c r="BU47" s="111">
        <v>5</v>
      </c>
      <c r="BV47" s="50" t="s">
        <v>287</v>
      </c>
      <c r="BW47" s="50" t="s">
        <v>287</v>
      </c>
      <c r="BX47" s="50" t="s">
        <v>287</v>
      </c>
      <c r="BY47" s="50" t="s">
        <v>287</v>
      </c>
      <c r="BZ47" s="50" t="s">
        <v>287</v>
      </c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</row>
    <row r="48" spans="1:89" ht="16.5" customHeight="1" thickBot="1">
      <c r="A48" s="49">
        <v>46101.406122685185</v>
      </c>
      <c r="B48" s="50" t="s">
        <v>35</v>
      </c>
      <c r="C48" s="50" t="s">
        <v>45</v>
      </c>
      <c r="D48" s="50" t="s">
        <v>374</v>
      </c>
      <c r="E48" s="50" t="s">
        <v>61</v>
      </c>
      <c r="F48" s="50" t="s">
        <v>286</v>
      </c>
      <c r="G48" s="50" t="s">
        <v>292</v>
      </c>
      <c r="H48" s="50" t="s">
        <v>367</v>
      </c>
      <c r="I48" s="50" t="s">
        <v>295</v>
      </c>
      <c r="J48" s="50" t="s">
        <v>286</v>
      </c>
      <c r="K48" s="50" t="s">
        <v>287</v>
      </c>
      <c r="L48" s="50" t="s">
        <v>475</v>
      </c>
      <c r="M48" s="50" t="s">
        <v>212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6</v>
      </c>
      <c r="AH48" s="111">
        <v>5</v>
      </c>
      <c r="AI48" s="111">
        <v>5</v>
      </c>
      <c r="AJ48" s="111">
        <v>5</v>
      </c>
      <c r="AK48" s="111">
        <v>5</v>
      </c>
      <c r="AL48" s="50" t="s">
        <v>199</v>
      </c>
      <c r="AM48" s="50" t="s">
        <v>199</v>
      </c>
      <c r="AN48" s="50" t="s">
        <v>202</v>
      </c>
      <c r="AO48" s="50" t="s">
        <v>202</v>
      </c>
      <c r="AP48" s="50" t="s">
        <v>202</v>
      </c>
      <c r="AQ48" s="50" t="s">
        <v>199</v>
      </c>
      <c r="AR48" s="50" t="s">
        <v>199</v>
      </c>
      <c r="AS48" s="50" t="s">
        <v>202</v>
      </c>
      <c r="AT48" s="50" t="s">
        <v>371</v>
      </c>
      <c r="AU48" s="50" t="s">
        <v>479</v>
      </c>
      <c r="AV48" s="50" t="s">
        <v>91</v>
      </c>
      <c r="AW48" s="50"/>
      <c r="AX48" s="50" t="s">
        <v>287</v>
      </c>
      <c r="AY48" s="50" t="s">
        <v>476</v>
      </c>
      <c r="AZ48" s="111">
        <v>5</v>
      </c>
      <c r="BA48" s="50" t="s">
        <v>288</v>
      </c>
      <c r="BB48" s="50" t="s">
        <v>350</v>
      </c>
      <c r="BC48" s="50" t="s">
        <v>387</v>
      </c>
      <c r="BD48" s="50" t="s">
        <v>288</v>
      </c>
      <c r="BE48" s="50" t="s">
        <v>287</v>
      </c>
      <c r="BF48" s="50" t="s">
        <v>286</v>
      </c>
      <c r="BG48" s="50" t="s">
        <v>348</v>
      </c>
      <c r="BH48" s="50" t="s">
        <v>486</v>
      </c>
      <c r="BI48" s="50"/>
      <c r="BJ48" s="111">
        <v>5</v>
      </c>
      <c r="BK48" s="50"/>
      <c r="BL48" s="50" t="s">
        <v>287</v>
      </c>
      <c r="BM48" s="50" t="s">
        <v>287</v>
      </c>
      <c r="BN48" s="50" t="s">
        <v>287</v>
      </c>
      <c r="BO48" s="50" t="s">
        <v>287</v>
      </c>
      <c r="BP48" s="50" t="s">
        <v>287</v>
      </c>
      <c r="BQ48" s="50"/>
      <c r="BR48" s="111">
        <v>5</v>
      </c>
      <c r="BS48" s="50" t="s">
        <v>287</v>
      </c>
      <c r="BT48" s="50"/>
      <c r="BU48" s="111">
        <v>5</v>
      </c>
      <c r="BV48" s="50" t="s">
        <v>287</v>
      </c>
      <c r="BW48" s="50" t="s">
        <v>287</v>
      </c>
      <c r="BX48" s="50" t="s">
        <v>287</v>
      </c>
      <c r="BY48" s="50" t="s">
        <v>287</v>
      </c>
      <c r="BZ48" s="50" t="s">
        <v>287</v>
      </c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</row>
    <row r="49" spans="1:89" ht="16.5" customHeight="1" thickBot="1">
      <c r="A49" s="49">
        <v>46101.410787037035</v>
      </c>
      <c r="B49" s="50" t="s">
        <v>34</v>
      </c>
      <c r="C49" s="50" t="s">
        <v>45</v>
      </c>
      <c r="D49" s="50" t="s">
        <v>374</v>
      </c>
      <c r="E49" s="50" t="s">
        <v>62</v>
      </c>
      <c r="F49" s="50" t="s">
        <v>286</v>
      </c>
      <c r="G49" s="50" t="s">
        <v>74</v>
      </c>
      <c r="H49" s="50" t="s">
        <v>429</v>
      </c>
      <c r="I49" s="50" t="s">
        <v>295</v>
      </c>
      <c r="J49" s="50" t="s">
        <v>376</v>
      </c>
      <c r="K49" s="50" t="s">
        <v>287</v>
      </c>
      <c r="L49" s="50" t="s">
        <v>475</v>
      </c>
      <c r="M49" s="50" t="s">
        <v>212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6</v>
      </c>
      <c r="AH49" s="111">
        <v>5</v>
      </c>
      <c r="AI49" s="111">
        <v>5</v>
      </c>
      <c r="AJ49" s="111">
        <v>5</v>
      </c>
      <c r="AK49" s="111">
        <v>5</v>
      </c>
      <c r="AL49" s="50" t="s">
        <v>199</v>
      </c>
      <c r="AM49" s="50" t="s">
        <v>199</v>
      </c>
      <c r="AN49" s="50" t="s">
        <v>202</v>
      </c>
      <c r="AO49" s="50" t="s">
        <v>202</v>
      </c>
      <c r="AP49" s="50" t="s">
        <v>202</v>
      </c>
      <c r="AQ49" s="50" t="s">
        <v>199</v>
      </c>
      <c r="AR49" s="50" t="s">
        <v>202</v>
      </c>
      <c r="AS49" s="50" t="s">
        <v>202</v>
      </c>
      <c r="AT49" s="50" t="s">
        <v>371</v>
      </c>
      <c r="AU49" s="50" t="s">
        <v>479</v>
      </c>
      <c r="AV49" s="50" t="s">
        <v>91</v>
      </c>
      <c r="AW49" s="50" t="s">
        <v>286</v>
      </c>
      <c r="AX49" s="50" t="s">
        <v>287</v>
      </c>
      <c r="AY49" s="50" t="s">
        <v>613</v>
      </c>
      <c r="AZ49" s="111">
        <v>5</v>
      </c>
      <c r="BA49" s="50" t="s">
        <v>288</v>
      </c>
      <c r="BB49" s="50" t="s">
        <v>350</v>
      </c>
      <c r="BC49" s="50" t="s">
        <v>387</v>
      </c>
      <c r="BD49" s="50" t="s">
        <v>288</v>
      </c>
      <c r="BE49" s="50" t="s">
        <v>287</v>
      </c>
      <c r="BF49" s="50" t="s">
        <v>286</v>
      </c>
      <c r="BG49" s="50" t="s">
        <v>348</v>
      </c>
      <c r="BH49" s="50" t="s">
        <v>486</v>
      </c>
      <c r="BI49" s="50"/>
      <c r="BJ49" s="111">
        <v>5</v>
      </c>
      <c r="BK49" s="50"/>
      <c r="BL49" s="50" t="s">
        <v>287</v>
      </c>
      <c r="BM49" s="50" t="s">
        <v>287</v>
      </c>
      <c r="BN49" s="50" t="s">
        <v>287</v>
      </c>
      <c r="BO49" s="50" t="s">
        <v>287</v>
      </c>
      <c r="BP49" s="50" t="s">
        <v>287</v>
      </c>
      <c r="BQ49" s="50"/>
      <c r="BR49" s="111">
        <v>5</v>
      </c>
      <c r="BS49" s="50" t="s">
        <v>287</v>
      </c>
      <c r="BT49" s="50"/>
      <c r="BU49" s="111">
        <v>5</v>
      </c>
      <c r="BV49" s="50" t="s">
        <v>287</v>
      </c>
      <c r="BW49" s="50" t="s">
        <v>91</v>
      </c>
      <c r="BX49" s="50" t="s">
        <v>91</v>
      </c>
      <c r="BY49" s="50" t="s">
        <v>91</v>
      </c>
      <c r="BZ49" s="50" t="s">
        <v>91</v>
      </c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</row>
    <row r="50" spans="1:89" ht="16.5" customHeight="1" thickBot="1">
      <c r="A50" s="49">
        <v>46101.413402777776</v>
      </c>
      <c r="B50" s="50" t="s">
        <v>34</v>
      </c>
      <c r="C50" s="50" t="s">
        <v>45</v>
      </c>
      <c r="D50" s="50" t="s">
        <v>369</v>
      </c>
      <c r="E50" s="50" t="s">
        <v>285</v>
      </c>
      <c r="F50" s="50" t="s">
        <v>376</v>
      </c>
      <c r="G50" s="50" t="s">
        <v>73</v>
      </c>
      <c r="H50" s="50" t="s">
        <v>349</v>
      </c>
      <c r="I50" s="50" t="s">
        <v>295</v>
      </c>
      <c r="J50" s="50" t="s">
        <v>286</v>
      </c>
      <c r="K50" s="50" t="s">
        <v>287</v>
      </c>
      <c r="L50" s="50" t="s">
        <v>475</v>
      </c>
      <c r="M50" s="50" t="s">
        <v>212</v>
      </c>
      <c r="N50" s="111">
        <v>5</v>
      </c>
      <c r="O50" s="111">
        <v>5</v>
      </c>
      <c r="P50" s="111">
        <v>5</v>
      </c>
      <c r="Q50" s="111">
        <v>5</v>
      </c>
      <c r="R50" s="111">
        <v>5</v>
      </c>
      <c r="S50" s="111">
        <v>5</v>
      </c>
      <c r="T50" s="111">
        <v>5</v>
      </c>
      <c r="U50" s="111">
        <v>5</v>
      </c>
      <c r="V50" s="111">
        <v>5</v>
      </c>
      <c r="W50" s="111">
        <v>5</v>
      </c>
      <c r="X50" s="111">
        <v>5</v>
      </c>
      <c r="Y50" s="111">
        <v>5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5</v>
      </c>
      <c r="AF50" s="111">
        <v>5</v>
      </c>
      <c r="AG50" s="111">
        <v>6</v>
      </c>
      <c r="AH50" s="111">
        <v>5</v>
      </c>
      <c r="AI50" s="111">
        <v>5</v>
      </c>
      <c r="AJ50" s="111">
        <v>5</v>
      </c>
      <c r="AK50" s="111">
        <v>5</v>
      </c>
      <c r="AL50" s="50" t="s">
        <v>200</v>
      </c>
      <c r="AM50" s="50" t="s">
        <v>200</v>
      </c>
      <c r="AN50" s="50" t="s">
        <v>202</v>
      </c>
      <c r="AO50" s="50" t="s">
        <v>202</v>
      </c>
      <c r="AP50" s="50" t="s">
        <v>202</v>
      </c>
      <c r="AQ50" s="50" t="s">
        <v>200</v>
      </c>
      <c r="AR50" s="50" t="s">
        <v>200</v>
      </c>
      <c r="AS50" s="50" t="s">
        <v>202</v>
      </c>
      <c r="AT50" s="50" t="s">
        <v>371</v>
      </c>
      <c r="AU50" s="50" t="s">
        <v>480</v>
      </c>
      <c r="AV50" s="50" t="s">
        <v>91</v>
      </c>
      <c r="AW50" s="50" t="s">
        <v>286</v>
      </c>
      <c r="AX50" s="50" t="s">
        <v>219</v>
      </c>
      <c r="AY50" s="50" t="s">
        <v>478</v>
      </c>
      <c r="AZ50" s="111">
        <v>5</v>
      </c>
      <c r="BA50" s="50" t="s">
        <v>288</v>
      </c>
      <c r="BB50" s="50" t="s">
        <v>350</v>
      </c>
      <c r="BC50" s="50" t="s">
        <v>294</v>
      </c>
      <c r="BD50" s="50" t="s">
        <v>288</v>
      </c>
      <c r="BE50" s="50" t="s">
        <v>287</v>
      </c>
      <c r="BF50" s="50" t="s">
        <v>286</v>
      </c>
      <c r="BG50" s="50" t="s">
        <v>348</v>
      </c>
      <c r="BH50" s="50" t="s">
        <v>486</v>
      </c>
      <c r="BI50" s="50"/>
      <c r="BJ50" s="111">
        <v>5</v>
      </c>
      <c r="BK50" s="50"/>
      <c r="BL50" s="50" t="s">
        <v>287</v>
      </c>
      <c r="BM50" s="50" t="s">
        <v>287</v>
      </c>
      <c r="BN50" s="50" t="s">
        <v>287</v>
      </c>
      <c r="BO50" s="50" t="s">
        <v>287</v>
      </c>
      <c r="BP50" s="50" t="s">
        <v>287</v>
      </c>
      <c r="BQ50" s="50"/>
      <c r="BR50" s="111">
        <v>5</v>
      </c>
      <c r="BS50" s="50" t="s">
        <v>287</v>
      </c>
      <c r="BT50" s="50"/>
      <c r="BU50" s="111">
        <v>5</v>
      </c>
      <c r="BV50" s="50" t="s">
        <v>287</v>
      </c>
      <c r="BW50" s="50" t="s">
        <v>91</v>
      </c>
      <c r="BX50" s="50" t="s">
        <v>91</v>
      </c>
      <c r="BY50" s="50" t="s">
        <v>91</v>
      </c>
      <c r="BZ50" s="50" t="s">
        <v>91</v>
      </c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</row>
    <row r="51" spans="1:89" ht="16.5" customHeight="1" thickBot="1">
      <c r="A51" s="49">
        <v>46101.415462962963</v>
      </c>
      <c r="B51" s="50" t="s">
        <v>35</v>
      </c>
      <c r="C51" s="50" t="s">
        <v>45</v>
      </c>
      <c r="D51" s="50" t="s">
        <v>369</v>
      </c>
      <c r="E51" s="50" t="s">
        <v>285</v>
      </c>
      <c r="F51" s="50" t="s">
        <v>286</v>
      </c>
      <c r="G51" s="50" t="s">
        <v>73</v>
      </c>
      <c r="H51" s="50" t="s">
        <v>615</v>
      </c>
      <c r="I51" s="50" t="s">
        <v>295</v>
      </c>
      <c r="J51" s="50" t="s">
        <v>286</v>
      </c>
      <c r="K51" s="50" t="s">
        <v>287</v>
      </c>
      <c r="L51" s="50" t="s">
        <v>475</v>
      </c>
      <c r="M51" s="50" t="s">
        <v>212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6</v>
      </c>
      <c r="AH51" s="111">
        <v>5</v>
      </c>
      <c r="AI51" s="111">
        <v>5</v>
      </c>
      <c r="AJ51" s="111">
        <v>5</v>
      </c>
      <c r="AK51" s="111">
        <v>6</v>
      </c>
      <c r="AL51" s="50" t="s">
        <v>200</v>
      </c>
      <c r="AM51" s="50" t="s">
        <v>200</v>
      </c>
      <c r="AN51" s="50" t="s">
        <v>202</v>
      </c>
      <c r="AO51" s="50" t="s">
        <v>202</v>
      </c>
      <c r="AP51" s="50" t="s">
        <v>202</v>
      </c>
      <c r="AQ51" s="50" t="s">
        <v>200</v>
      </c>
      <c r="AR51" s="50" t="s">
        <v>202</v>
      </c>
      <c r="AS51" s="50" t="s">
        <v>202</v>
      </c>
      <c r="AT51" s="50" t="s">
        <v>371</v>
      </c>
      <c r="AU51" s="50" t="s">
        <v>443</v>
      </c>
      <c r="AV51" s="50" t="s">
        <v>91</v>
      </c>
      <c r="AW51" s="50" t="s">
        <v>286</v>
      </c>
      <c r="AX51" s="50" t="s">
        <v>287</v>
      </c>
      <c r="AY51" s="50" t="s">
        <v>476</v>
      </c>
      <c r="AZ51" s="111">
        <v>5</v>
      </c>
      <c r="BA51" s="50" t="s">
        <v>288</v>
      </c>
      <c r="BB51" s="50" t="s">
        <v>350</v>
      </c>
      <c r="BC51" s="50" t="s">
        <v>294</v>
      </c>
      <c r="BD51" s="50" t="s">
        <v>288</v>
      </c>
      <c r="BE51" s="50" t="s">
        <v>287</v>
      </c>
      <c r="BF51" s="50" t="s">
        <v>286</v>
      </c>
      <c r="BG51" s="50" t="s">
        <v>348</v>
      </c>
      <c r="BH51" s="50" t="s">
        <v>486</v>
      </c>
      <c r="BI51" s="50"/>
      <c r="BJ51" s="111">
        <v>5</v>
      </c>
      <c r="BK51" s="50"/>
      <c r="BL51" s="50" t="s">
        <v>287</v>
      </c>
      <c r="BM51" s="50" t="s">
        <v>287</v>
      </c>
      <c r="BN51" s="50" t="s">
        <v>287</v>
      </c>
      <c r="BO51" s="50" t="s">
        <v>287</v>
      </c>
      <c r="BP51" s="50" t="s">
        <v>287</v>
      </c>
      <c r="BQ51" s="50"/>
      <c r="BR51" s="111">
        <v>5</v>
      </c>
      <c r="BS51" s="50" t="s">
        <v>287</v>
      </c>
      <c r="BT51" s="50"/>
      <c r="BU51" s="111">
        <v>5</v>
      </c>
      <c r="BV51" s="50" t="s">
        <v>287</v>
      </c>
      <c r="BW51" s="50" t="s">
        <v>91</v>
      </c>
      <c r="BX51" s="50" t="s">
        <v>91</v>
      </c>
      <c r="BY51" s="50" t="s">
        <v>91</v>
      </c>
      <c r="BZ51" s="50" t="s">
        <v>91</v>
      </c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</row>
    <row r="52" spans="1:89" ht="16.5" customHeight="1" thickBot="1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111"/>
      <c r="BA52" s="50"/>
      <c r="BB52" s="50"/>
      <c r="BC52" s="50"/>
      <c r="BD52" s="50"/>
      <c r="BE52" s="50"/>
      <c r="BF52" s="50"/>
      <c r="BG52" s="50"/>
      <c r="BH52" s="50"/>
      <c r="BI52" s="50"/>
      <c r="BJ52" s="111"/>
      <c r="BK52" s="50"/>
      <c r="BL52" s="50"/>
      <c r="BM52" s="50"/>
      <c r="BN52" s="50"/>
      <c r="BO52" s="50"/>
      <c r="BP52" s="50"/>
      <c r="BQ52" s="50"/>
      <c r="BR52" s="111"/>
      <c r="BS52" s="50"/>
      <c r="BT52" s="50"/>
      <c r="BU52" s="111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</row>
    <row r="53" spans="1:89" ht="16.5" customHeight="1" thickBot="1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111"/>
      <c r="BA53" s="50"/>
      <c r="BB53" s="50"/>
      <c r="BC53" s="50"/>
      <c r="BD53" s="50"/>
      <c r="BE53" s="50"/>
      <c r="BF53" s="50"/>
      <c r="BG53" s="50"/>
      <c r="BH53" s="50"/>
      <c r="BI53" s="50"/>
      <c r="BJ53" s="111"/>
      <c r="BK53" s="50"/>
      <c r="BL53" s="50"/>
      <c r="BM53" s="50"/>
      <c r="BN53" s="50"/>
      <c r="BO53" s="50"/>
      <c r="BP53" s="50"/>
      <c r="BQ53" s="50"/>
      <c r="BR53" s="111"/>
      <c r="BS53" s="50"/>
      <c r="BT53" s="50"/>
      <c r="BU53" s="111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</row>
    <row r="54" spans="1:89" ht="16.5" customHeight="1" thickBot="1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111"/>
      <c r="BA54" s="50"/>
      <c r="BB54" s="50"/>
      <c r="BC54" s="50"/>
      <c r="BD54" s="50"/>
      <c r="BE54" s="50"/>
      <c r="BF54" s="50"/>
      <c r="BG54" s="50"/>
      <c r="BH54" s="50"/>
      <c r="BI54" s="50"/>
      <c r="BJ54" s="111"/>
      <c r="BK54" s="50"/>
      <c r="BL54" s="50"/>
      <c r="BM54" s="50"/>
      <c r="BN54" s="50"/>
      <c r="BO54" s="50"/>
      <c r="BP54" s="50"/>
      <c r="BQ54" s="50"/>
      <c r="BR54" s="111"/>
      <c r="BS54" s="50"/>
      <c r="BT54" s="50"/>
      <c r="BU54" s="111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</row>
    <row r="55" spans="1:89" ht="16.5" customHeight="1" thickBot="1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111"/>
      <c r="BA55" s="50"/>
      <c r="BB55" s="50"/>
      <c r="BC55" s="50"/>
      <c r="BD55" s="50"/>
      <c r="BE55" s="50"/>
      <c r="BF55" s="50"/>
      <c r="BG55" s="50"/>
      <c r="BH55" s="50"/>
      <c r="BI55" s="50"/>
      <c r="BJ55" s="111"/>
      <c r="BK55" s="50"/>
      <c r="BL55" s="50"/>
      <c r="BM55" s="50"/>
      <c r="BN55" s="50"/>
      <c r="BO55" s="50"/>
      <c r="BP55" s="50"/>
      <c r="BQ55" s="50"/>
      <c r="BR55" s="111"/>
      <c r="BS55" s="50"/>
      <c r="BT55" s="50"/>
      <c r="BU55" s="111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</row>
    <row r="56" spans="1:89" ht="16.5" customHeight="1" thickBot="1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111"/>
      <c r="BA56" s="50"/>
      <c r="BB56" s="50"/>
      <c r="BC56" s="50"/>
      <c r="BD56" s="50"/>
      <c r="BE56" s="50"/>
      <c r="BF56" s="50"/>
      <c r="BG56" s="50"/>
      <c r="BH56" s="50"/>
      <c r="BI56" s="50"/>
      <c r="BJ56" s="111"/>
      <c r="BK56" s="50"/>
      <c r="BL56" s="50"/>
      <c r="BM56" s="50"/>
      <c r="BN56" s="50"/>
      <c r="BO56" s="50"/>
      <c r="BP56" s="50"/>
      <c r="BQ56" s="50"/>
      <c r="BR56" s="111"/>
      <c r="BS56" s="50"/>
      <c r="BT56" s="50"/>
      <c r="BU56" s="111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</row>
    <row r="57" spans="1:89" ht="16.5" customHeight="1" thickBot="1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111"/>
      <c r="BA57" s="50"/>
      <c r="BB57" s="50"/>
      <c r="BC57" s="50"/>
      <c r="BD57" s="50"/>
      <c r="BE57" s="50"/>
      <c r="BF57" s="50"/>
      <c r="BG57" s="50"/>
      <c r="BH57" s="50"/>
      <c r="BI57" s="50"/>
      <c r="BJ57" s="111"/>
      <c r="BK57" s="50"/>
      <c r="BL57" s="50"/>
      <c r="BM57" s="50"/>
      <c r="BN57" s="50"/>
      <c r="BO57" s="50"/>
      <c r="BP57" s="50"/>
      <c r="BQ57" s="50"/>
      <c r="BR57" s="111"/>
      <c r="BS57" s="50"/>
      <c r="BT57" s="50"/>
      <c r="BU57" s="111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</row>
    <row r="58" spans="1:89" ht="16.5" customHeight="1" thickBot="1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111"/>
      <c r="BA58" s="50"/>
      <c r="BB58" s="50"/>
      <c r="BC58" s="50"/>
      <c r="BD58" s="50"/>
      <c r="BE58" s="50"/>
      <c r="BF58" s="50"/>
      <c r="BG58" s="50"/>
      <c r="BH58" s="50"/>
      <c r="BI58" s="50"/>
      <c r="BJ58" s="111"/>
      <c r="BK58" s="50"/>
      <c r="BL58" s="50"/>
      <c r="BM58" s="50"/>
      <c r="BN58" s="50"/>
      <c r="BO58" s="50"/>
      <c r="BP58" s="50"/>
      <c r="BQ58" s="50"/>
      <c r="BR58" s="111"/>
      <c r="BS58" s="50"/>
      <c r="BT58" s="50"/>
      <c r="BU58" s="111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</row>
    <row r="59" spans="1:89" ht="16.5" customHeight="1" thickBot="1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111"/>
      <c r="BA59" s="50"/>
      <c r="BB59" s="50"/>
      <c r="BC59" s="50"/>
      <c r="BD59" s="50"/>
      <c r="BE59" s="50"/>
      <c r="BF59" s="50"/>
      <c r="BG59" s="50"/>
      <c r="BH59" s="50"/>
      <c r="BI59" s="50"/>
      <c r="BJ59" s="111"/>
      <c r="BK59" s="50"/>
      <c r="BL59" s="50"/>
      <c r="BM59" s="50"/>
      <c r="BN59" s="50"/>
      <c r="BO59" s="50"/>
      <c r="BP59" s="50"/>
      <c r="BQ59" s="50"/>
      <c r="BR59" s="111"/>
      <c r="BS59" s="50"/>
      <c r="BT59" s="50"/>
      <c r="BU59" s="111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</row>
    <row r="60" spans="1:89" ht="16.5" customHeight="1" thickBot="1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111"/>
      <c r="BA60" s="50"/>
      <c r="BB60" s="50"/>
      <c r="BC60" s="50"/>
      <c r="BD60" s="50"/>
      <c r="BE60" s="50"/>
      <c r="BF60" s="50"/>
      <c r="BG60" s="50"/>
      <c r="BH60" s="50"/>
      <c r="BI60" s="50"/>
      <c r="BJ60" s="111"/>
      <c r="BK60" s="50"/>
      <c r="BL60" s="50"/>
      <c r="BM60" s="50"/>
      <c r="BN60" s="50"/>
      <c r="BO60" s="50"/>
      <c r="BP60" s="50"/>
      <c r="BQ60" s="50"/>
      <c r="BR60" s="111"/>
      <c r="BS60" s="50"/>
      <c r="BT60" s="50"/>
      <c r="BU60" s="111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</row>
    <row r="61" spans="1:89" ht="16.5" customHeight="1" thickBot="1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111"/>
      <c r="BA61" s="50"/>
      <c r="BB61" s="50"/>
      <c r="BC61" s="50"/>
      <c r="BD61" s="50"/>
      <c r="BE61" s="50"/>
      <c r="BF61" s="50"/>
      <c r="BG61" s="50"/>
      <c r="BH61" s="50"/>
      <c r="BI61" s="50"/>
      <c r="BJ61" s="111"/>
      <c r="BK61" s="50"/>
      <c r="BL61" s="50"/>
      <c r="BM61" s="50"/>
      <c r="BN61" s="50"/>
      <c r="BO61" s="50"/>
      <c r="BP61" s="50"/>
      <c r="BQ61" s="50"/>
      <c r="BR61" s="111"/>
      <c r="BS61" s="50"/>
      <c r="BT61" s="50"/>
      <c r="BU61" s="111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</row>
    <row r="62" spans="1:89" ht="16.5" customHeight="1" thickBot="1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111"/>
      <c r="BA62" s="50"/>
      <c r="BB62" s="112"/>
      <c r="BC62" s="50"/>
      <c r="BD62" s="50"/>
      <c r="BE62" s="50"/>
      <c r="BF62" s="50"/>
      <c r="BG62" s="50"/>
      <c r="BH62" s="50"/>
      <c r="BI62" s="50"/>
      <c r="BJ62" s="111"/>
      <c r="BK62" s="50"/>
      <c r="BL62" s="50"/>
      <c r="BM62" s="50"/>
      <c r="BN62" s="50"/>
      <c r="BO62" s="50"/>
      <c r="BP62" s="50"/>
      <c r="BQ62" s="50"/>
      <c r="BR62" s="111"/>
      <c r="BS62" s="50"/>
      <c r="BT62" s="50"/>
      <c r="BU62" s="111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</row>
    <row r="63" spans="1:89" ht="16.5" customHeight="1" thickBot="1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111"/>
      <c r="BA63" s="50"/>
      <c r="BB63" s="50"/>
      <c r="BC63" s="50"/>
      <c r="BD63" s="50"/>
      <c r="BE63" s="50"/>
      <c r="BF63" s="50"/>
      <c r="BG63" s="50"/>
      <c r="BH63" s="50"/>
      <c r="BI63" s="50"/>
      <c r="BJ63" s="111"/>
      <c r="BK63" s="50"/>
      <c r="BL63" s="50"/>
      <c r="BM63" s="50"/>
      <c r="BN63" s="50"/>
      <c r="BO63" s="50"/>
      <c r="BP63" s="50"/>
      <c r="BQ63" s="50"/>
      <c r="BR63" s="111"/>
      <c r="BS63" s="50"/>
      <c r="BT63" s="50"/>
      <c r="BU63" s="111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</row>
    <row r="64" spans="1:89" ht="16.5" customHeight="1" thickBot="1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111"/>
      <c r="BA64" s="50"/>
      <c r="BB64" s="50"/>
      <c r="BC64" s="50"/>
      <c r="BD64" s="50"/>
      <c r="BE64" s="50"/>
      <c r="BF64" s="50"/>
      <c r="BG64" s="50"/>
      <c r="BH64" s="50"/>
      <c r="BI64" s="50"/>
      <c r="BJ64" s="111"/>
      <c r="BK64" s="50"/>
      <c r="BL64" s="50"/>
      <c r="BM64" s="50"/>
      <c r="BN64" s="50"/>
      <c r="BO64" s="50"/>
      <c r="BP64" s="50"/>
      <c r="BQ64" s="50"/>
      <c r="BR64" s="111"/>
      <c r="BS64" s="50"/>
      <c r="BT64" s="50"/>
      <c r="BU64" s="111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</row>
    <row r="65" spans="1:89" ht="16.5" customHeight="1" thickBot="1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111"/>
      <c r="BA65" s="50"/>
      <c r="BB65" s="50"/>
      <c r="BC65" s="50"/>
      <c r="BD65" s="50"/>
      <c r="BE65" s="50"/>
      <c r="BF65" s="50"/>
      <c r="BG65" s="50"/>
      <c r="BH65" s="50"/>
      <c r="BI65" s="50"/>
      <c r="BJ65" s="111"/>
      <c r="BK65" s="50"/>
      <c r="BL65" s="50"/>
      <c r="BM65" s="50"/>
      <c r="BN65" s="50"/>
      <c r="BO65" s="50"/>
      <c r="BP65" s="50"/>
      <c r="BQ65" s="50"/>
      <c r="BR65" s="111"/>
      <c r="BS65" s="50"/>
      <c r="BT65" s="50"/>
      <c r="BU65" s="111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</row>
    <row r="66" spans="1:89" ht="16.5" customHeight="1" thickBot="1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111"/>
      <c r="BA66" s="50"/>
      <c r="BB66" s="112"/>
      <c r="BC66" s="50"/>
      <c r="BD66" s="50"/>
      <c r="BE66" s="50"/>
      <c r="BF66" s="50"/>
      <c r="BG66" s="50"/>
      <c r="BH66" s="50"/>
      <c r="BI66" s="50"/>
      <c r="BJ66" s="111"/>
      <c r="BK66" s="50"/>
      <c r="BL66" s="50"/>
      <c r="BM66" s="50"/>
      <c r="BN66" s="50"/>
      <c r="BO66" s="50"/>
      <c r="BP66" s="50"/>
      <c r="BQ66" s="50"/>
      <c r="BR66" s="111"/>
      <c r="BS66" s="50"/>
      <c r="BT66" s="50"/>
      <c r="BU66" s="111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</row>
    <row r="67" spans="1:89" ht="16.5" customHeight="1" thickBot="1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111"/>
      <c r="BA67" s="50"/>
      <c r="BB67" s="50"/>
      <c r="BC67" s="50"/>
      <c r="BD67" s="50"/>
      <c r="BE67" s="50"/>
      <c r="BF67" s="50"/>
      <c r="BG67" s="50"/>
      <c r="BH67" s="50"/>
      <c r="BI67" s="50"/>
      <c r="BJ67" s="111"/>
      <c r="BK67" s="50"/>
      <c r="BL67" s="50"/>
      <c r="BM67" s="50"/>
      <c r="BN67" s="50"/>
      <c r="BO67" s="50"/>
      <c r="BP67" s="50"/>
      <c r="BQ67" s="50"/>
      <c r="BR67" s="111"/>
      <c r="BS67" s="50"/>
      <c r="BT67" s="50"/>
      <c r="BU67" s="111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</row>
    <row r="68" spans="1:89" ht="16.5" customHeight="1" thickBot="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111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</row>
    <row r="69" spans="1:89" ht="16.5" customHeight="1" thickBot="1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111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</row>
    <row r="70" spans="1:89" ht="16.5" customHeight="1" thickBot="1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111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</row>
    <row r="71" spans="1:89" ht="16.5" customHeight="1" thickBot="1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111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</row>
    <row r="72" spans="1:89" ht="16.5" customHeight="1" thickBot="1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111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</row>
    <row r="73" spans="1:89" ht="15" thickBot="1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111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</row>
    <row r="74" spans="1:89" ht="15" thickBot="1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111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</row>
    <row r="75" spans="1:89" ht="15" thickBot="1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111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</row>
    <row r="76" spans="1:89" ht="15" thickBot="1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111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</row>
    <row r="77" spans="1:89" ht="15" thickBot="1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111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</row>
    <row r="78" spans="1:89" ht="15" thickBot="1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111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</row>
    <row r="79" spans="1:89" ht="15" thickBot="1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50"/>
      <c r="AM79" s="50"/>
      <c r="AN79" s="50"/>
      <c r="AO79" s="50"/>
      <c r="AP79" s="50"/>
      <c r="AQ79" s="50"/>
      <c r="AR79" s="50"/>
      <c r="AS79" s="50"/>
      <c r="AT79" s="112"/>
      <c r="AU79" s="50"/>
      <c r="AV79" s="50"/>
      <c r="AW79" s="50"/>
      <c r="AX79" s="50"/>
      <c r="AY79" s="50"/>
      <c r="AZ79" s="111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</row>
    <row r="80" spans="1:89" ht="15" thickBot="1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111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</row>
    <row r="81" spans="1:89" ht="15" thickBot="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111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</row>
    <row r="82" spans="1:89" ht="15" thickBot="1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111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</row>
    <row r="83" spans="1:89" ht="15" thickBo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111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</row>
    <row r="84" spans="1:89" ht="15" thickBot="1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111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</row>
    <row r="85" spans="1:89" ht="15" thickBot="1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111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</row>
    <row r="86" spans="1:89" ht="15" thickBo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111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</row>
    <row r="87" spans="1:89" ht="15" thickBot="1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111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</row>
    <row r="88" spans="1:89" ht="15" thickBo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111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</row>
    <row r="89" spans="1:89" ht="15" thickBo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111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</row>
    <row r="90" spans="1:89" ht="15" thickBo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111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</row>
    <row r="91" spans="1:89" ht="15" thickBot="1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111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</row>
    <row r="92" spans="1:89" ht="15" thickBo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111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</row>
    <row r="93" spans="1:89" ht="15" thickBot="1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111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</row>
    <row r="94" spans="1:89" ht="15" thickBo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111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</row>
    <row r="95" spans="1:89" ht="15" thickBo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111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</row>
    <row r="96" spans="1:89" ht="15" thickBo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111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</row>
    <row r="97" spans="1:89" ht="15" thickBot="1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111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</row>
    <row r="98" spans="1:89" ht="15" thickBot="1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111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</row>
    <row r="99" spans="1:89" ht="15" thickBot="1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111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</row>
    <row r="100" spans="1:89" ht="15" thickBot="1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111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</row>
    <row r="101" spans="1:89" ht="15" thickBot="1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111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</row>
    <row r="102" spans="1:89" ht="15" thickBot="1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111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</row>
    <row r="103" spans="1:89" ht="15" thickBot="1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111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</row>
    <row r="104" spans="1:89" ht="15" thickBot="1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111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</row>
    <row r="105" spans="1:89" ht="15" thickBot="1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111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</row>
    <row r="106" spans="1:89" ht="15" thickBot="1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111"/>
      <c r="BA106" s="50"/>
      <c r="BB106" s="50"/>
      <c r="BC106" s="50"/>
      <c r="BD106" s="50"/>
      <c r="BE106" s="50"/>
      <c r="BF106" s="50"/>
      <c r="BG106" s="50"/>
      <c r="BH106" s="50"/>
      <c r="BI106" s="50"/>
      <c r="BJ106" s="111"/>
      <c r="BK106" s="50"/>
      <c r="BL106" s="50"/>
      <c r="BM106" s="50"/>
      <c r="BN106" s="50"/>
      <c r="BO106" s="50"/>
      <c r="BP106" s="50"/>
      <c r="BQ106" s="50"/>
      <c r="BR106" s="111"/>
      <c r="BS106" s="50"/>
      <c r="BT106" s="50"/>
      <c r="BU106" s="111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</row>
    <row r="107" spans="1:89" ht="15" thickBot="1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111"/>
      <c r="BA107" s="50"/>
      <c r="BB107" s="50"/>
      <c r="BC107" s="50"/>
      <c r="BD107" s="50"/>
      <c r="BE107" s="50"/>
      <c r="BF107" s="50"/>
      <c r="BG107" s="50"/>
      <c r="BH107" s="50"/>
      <c r="BI107" s="50"/>
      <c r="BJ107" s="111"/>
      <c r="BK107" s="50"/>
      <c r="BL107" s="50"/>
      <c r="BM107" s="50"/>
      <c r="BN107" s="50"/>
      <c r="BO107" s="50"/>
      <c r="BP107" s="50"/>
      <c r="BQ107" s="50"/>
      <c r="BR107" s="111"/>
      <c r="BS107" s="50"/>
      <c r="BT107" s="50"/>
      <c r="BU107" s="111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</row>
    <row r="108" spans="1:89" ht="15" thickBot="1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111"/>
      <c r="BA108" s="50"/>
      <c r="BB108" s="50"/>
      <c r="BC108" s="50"/>
      <c r="BD108" s="50"/>
      <c r="BE108" s="50"/>
      <c r="BF108" s="50"/>
      <c r="BG108" s="50"/>
      <c r="BH108" s="50"/>
      <c r="BI108" s="50"/>
      <c r="BJ108" s="111"/>
      <c r="BK108" s="50"/>
      <c r="BL108" s="50"/>
      <c r="BM108" s="50"/>
      <c r="BN108" s="50"/>
      <c r="BO108" s="50"/>
      <c r="BP108" s="50"/>
      <c r="BQ108" s="50"/>
      <c r="BR108" s="111"/>
      <c r="BS108" s="50"/>
      <c r="BT108" s="50"/>
      <c r="BU108" s="111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</row>
    <row r="109" spans="1:89" ht="15" thickBot="1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111"/>
      <c r="BA109" s="50"/>
      <c r="BB109" s="50"/>
      <c r="BC109" s="50"/>
      <c r="BD109" s="50"/>
      <c r="BE109" s="50"/>
      <c r="BF109" s="50"/>
      <c r="BG109" s="50"/>
      <c r="BH109" s="50"/>
      <c r="BI109" s="50"/>
      <c r="BJ109" s="111"/>
      <c r="BK109" s="50"/>
      <c r="BL109" s="50"/>
      <c r="BM109" s="50"/>
      <c r="BN109" s="50"/>
      <c r="BO109" s="50"/>
      <c r="BP109" s="50"/>
      <c r="BQ109" s="50"/>
      <c r="BR109" s="111"/>
      <c r="BS109" s="50"/>
      <c r="BT109" s="50"/>
      <c r="BU109" s="111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</row>
    <row r="110" spans="1:89" ht="15" thickBot="1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111"/>
      <c r="BA110" s="50"/>
      <c r="BB110" s="50"/>
      <c r="BC110" s="50"/>
      <c r="BD110" s="50"/>
      <c r="BE110" s="50"/>
      <c r="BF110" s="50"/>
      <c r="BG110" s="50"/>
      <c r="BH110" s="50"/>
      <c r="BI110" s="50"/>
      <c r="BJ110" s="111"/>
      <c r="BK110" s="50"/>
      <c r="BL110" s="50"/>
      <c r="BM110" s="50"/>
      <c r="BN110" s="50"/>
      <c r="BO110" s="50"/>
      <c r="BP110" s="50"/>
      <c r="BQ110" s="50"/>
      <c r="BR110" s="111"/>
      <c r="BS110" s="50"/>
      <c r="BT110" s="50"/>
      <c r="BU110" s="111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</row>
    <row r="111" spans="1:89" ht="15" thickBot="1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111"/>
      <c r="BA111" s="50"/>
      <c r="BB111" s="50"/>
      <c r="BC111" s="50"/>
      <c r="BD111" s="50"/>
      <c r="BE111" s="50"/>
      <c r="BF111" s="50"/>
      <c r="BG111" s="50"/>
      <c r="BH111" s="50"/>
      <c r="BI111" s="50"/>
      <c r="BJ111" s="111"/>
      <c r="BK111" s="50"/>
      <c r="BL111" s="50"/>
      <c r="BM111" s="50"/>
      <c r="BN111" s="50"/>
      <c r="BO111" s="50"/>
      <c r="BP111" s="50"/>
      <c r="BQ111" s="50"/>
      <c r="BR111" s="111"/>
      <c r="BS111" s="50"/>
      <c r="BT111" s="50"/>
      <c r="BU111" s="111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</row>
    <row r="112" spans="1:89" ht="15" thickBot="1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111"/>
      <c r="BA112" s="50"/>
      <c r="BB112" s="50"/>
      <c r="BC112" s="50"/>
      <c r="BD112" s="50"/>
      <c r="BE112" s="50"/>
      <c r="BF112" s="50"/>
      <c r="BG112" s="50"/>
      <c r="BH112" s="50"/>
      <c r="BI112" s="50"/>
      <c r="BJ112" s="111"/>
      <c r="BK112" s="50"/>
      <c r="BL112" s="50"/>
      <c r="BM112" s="50"/>
      <c r="BN112" s="50"/>
      <c r="BO112" s="50"/>
      <c r="BP112" s="50"/>
      <c r="BQ112" s="50"/>
      <c r="BR112" s="111"/>
      <c r="BS112" s="50"/>
      <c r="BT112" s="50"/>
      <c r="BU112" s="111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</row>
    <row r="113" spans="1:89" ht="15" thickBot="1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111"/>
      <c r="BA113" s="50"/>
      <c r="BB113" s="50"/>
      <c r="BC113" s="50"/>
      <c r="BD113" s="50"/>
      <c r="BE113" s="50"/>
      <c r="BF113" s="50"/>
      <c r="BG113" s="50"/>
      <c r="BH113" s="50"/>
      <c r="BI113" s="50"/>
      <c r="BJ113" s="111"/>
      <c r="BK113" s="50"/>
      <c r="BL113" s="50"/>
      <c r="BM113" s="50"/>
      <c r="BN113" s="50"/>
      <c r="BO113" s="50"/>
      <c r="BP113" s="50"/>
      <c r="BQ113" s="50"/>
      <c r="BR113" s="111"/>
      <c r="BS113" s="50"/>
      <c r="BT113" s="50"/>
      <c r="BU113" s="111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</row>
    <row r="114" spans="1:89" ht="15" thickBot="1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111"/>
      <c r="BA114" s="50"/>
      <c r="BB114" s="50"/>
      <c r="BC114" s="50"/>
      <c r="BD114" s="50"/>
      <c r="BE114" s="50"/>
      <c r="BF114" s="50"/>
      <c r="BG114" s="50"/>
      <c r="BH114" s="50"/>
      <c r="BI114" s="50"/>
      <c r="BJ114" s="111"/>
      <c r="BK114" s="50"/>
      <c r="BL114" s="50"/>
      <c r="BM114" s="50"/>
      <c r="BN114" s="50"/>
      <c r="BO114" s="50"/>
      <c r="BP114" s="50"/>
      <c r="BQ114" s="50"/>
      <c r="BR114" s="111"/>
      <c r="BS114" s="50"/>
      <c r="BT114" s="50"/>
      <c r="BU114" s="111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</row>
    <row r="115" spans="1:89" ht="15" thickBot="1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111"/>
      <c r="BA115" s="50"/>
      <c r="BB115" s="50"/>
      <c r="BC115" s="50"/>
      <c r="BD115" s="50"/>
      <c r="BE115" s="50"/>
      <c r="BF115" s="50"/>
      <c r="BG115" s="50"/>
      <c r="BH115" s="50"/>
      <c r="BI115" s="50"/>
      <c r="BJ115" s="111"/>
      <c r="BK115" s="50"/>
      <c r="BL115" s="50"/>
      <c r="BM115" s="50"/>
      <c r="BN115" s="50"/>
      <c r="BO115" s="50"/>
      <c r="BP115" s="50"/>
      <c r="BQ115" s="50"/>
      <c r="BR115" s="111"/>
      <c r="BS115" s="50"/>
      <c r="BT115" s="50"/>
      <c r="BU115" s="111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</row>
    <row r="116" spans="1:89" ht="15" thickBot="1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111"/>
      <c r="BA116" s="50"/>
      <c r="BB116" s="50"/>
      <c r="BC116" s="50"/>
      <c r="BD116" s="50"/>
      <c r="BE116" s="50"/>
      <c r="BF116" s="50"/>
      <c r="BG116" s="50"/>
      <c r="BH116" s="50"/>
      <c r="BI116" s="50"/>
      <c r="BJ116" s="111"/>
      <c r="BK116" s="50"/>
      <c r="BL116" s="50"/>
      <c r="BM116" s="50"/>
      <c r="BN116" s="50"/>
      <c r="BO116" s="50"/>
      <c r="BP116" s="50"/>
      <c r="BQ116" s="50"/>
      <c r="BR116" s="111"/>
      <c r="BS116" s="50"/>
      <c r="BT116" s="50"/>
      <c r="BU116" s="111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</row>
    <row r="117" spans="1:89" ht="15" thickBot="1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111"/>
      <c r="BA117" s="50"/>
      <c r="BB117" s="50"/>
      <c r="BC117" s="50"/>
      <c r="BD117" s="50"/>
      <c r="BE117" s="50"/>
      <c r="BF117" s="50"/>
      <c r="BG117" s="50"/>
      <c r="BH117" s="50"/>
      <c r="BI117" s="50"/>
      <c r="BJ117" s="111"/>
      <c r="BK117" s="50"/>
      <c r="BL117" s="50"/>
      <c r="BM117" s="50"/>
      <c r="BN117" s="50"/>
      <c r="BO117" s="50"/>
      <c r="BP117" s="50"/>
      <c r="BQ117" s="50"/>
      <c r="BR117" s="111"/>
      <c r="BS117" s="50"/>
      <c r="BT117" s="50"/>
      <c r="BU117" s="111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</row>
    <row r="118" spans="1:89" ht="15" thickBot="1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111"/>
      <c r="BA118" s="50"/>
      <c r="BB118" s="50"/>
      <c r="BC118" s="50"/>
      <c r="BD118" s="50"/>
      <c r="BE118" s="50"/>
      <c r="BF118" s="50"/>
      <c r="BG118" s="50"/>
      <c r="BH118" s="50"/>
      <c r="BI118" s="50"/>
      <c r="BJ118" s="111"/>
      <c r="BK118" s="50"/>
      <c r="BL118" s="50"/>
      <c r="BM118" s="50"/>
      <c r="BN118" s="50"/>
      <c r="BO118" s="50"/>
      <c r="BP118" s="50"/>
      <c r="BQ118" s="50"/>
      <c r="BR118" s="111"/>
      <c r="BS118" s="50"/>
      <c r="BT118" s="50"/>
      <c r="BU118" s="111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</row>
    <row r="119" spans="1:89" ht="15" thickBot="1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111"/>
      <c r="BA119" s="50"/>
      <c r="BB119" s="50"/>
      <c r="BC119" s="50"/>
      <c r="BD119" s="50"/>
      <c r="BE119" s="50"/>
      <c r="BF119" s="50"/>
      <c r="BG119" s="50"/>
      <c r="BH119" s="50"/>
      <c r="BI119" s="50"/>
      <c r="BJ119" s="111"/>
      <c r="BK119" s="50"/>
      <c r="BL119" s="50"/>
      <c r="BM119" s="50"/>
      <c r="BN119" s="50"/>
      <c r="BO119" s="50"/>
      <c r="BP119" s="50"/>
      <c r="BQ119" s="50"/>
      <c r="BR119" s="111"/>
      <c r="BS119" s="50"/>
      <c r="BT119" s="50"/>
      <c r="BU119" s="111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</row>
    <row r="120" spans="1:89" ht="15" thickBot="1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111"/>
      <c r="BA120" s="50"/>
      <c r="BB120" s="50"/>
      <c r="BC120" s="50"/>
      <c r="BD120" s="50"/>
      <c r="BE120" s="50"/>
      <c r="BF120" s="50"/>
      <c r="BG120" s="50"/>
      <c r="BH120" s="50"/>
      <c r="BI120" s="50"/>
      <c r="BJ120" s="111"/>
      <c r="BK120" s="50"/>
      <c r="BL120" s="50"/>
      <c r="BM120" s="50"/>
      <c r="BN120" s="50"/>
      <c r="BO120" s="50"/>
      <c r="BP120" s="50"/>
      <c r="BQ120" s="50"/>
      <c r="BR120" s="111"/>
      <c r="BS120" s="50"/>
      <c r="BT120" s="50"/>
      <c r="BU120" s="111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</row>
    <row r="121" spans="1:89" ht="15" thickBot="1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111"/>
      <c r="BA121" s="50"/>
      <c r="BB121" s="50"/>
      <c r="BC121" s="50"/>
      <c r="BD121" s="50"/>
      <c r="BE121" s="50"/>
      <c r="BF121" s="50"/>
      <c r="BG121" s="50"/>
      <c r="BH121" s="50"/>
      <c r="BI121" s="50"/>
      <c r="BJ121" s="111"/>
      <c r="BK121" s="50"/>
      <c r="BL121" s="50"/>
      <c r="BM121" s="50"/>
      <c r="BN121" s="50"/>
      <c r="BO121" s="50"/>
      <c r="BP121" s="50"/>
      <c r="BQ121" s="50"/>
      <c r="BR121" s="111"/>
      <c r="BS121" s="50"/>
      <c r="BT121" s="50"/>
      <c r="BU121" s="111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</row>
    <row r="122" spans="1:89" ht="15" thickBot="1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111"/>
      <c r="BA122" s="50"/>
      <c r="BB122" s="50"/>
      <c r="BC122" s="50"/>
      <c r="BD122" s="50"/>
      <c r="BE122" s="50"/>
      <c r="BF122" s="50"/>
      <c r="BG122" s="50"/>
      <c r="BH122" s="50"/>
      <c r="BI122" s="50"/>
      <c r="BJ122" s="111"/>
      <c r="BK122" s="50"/>
      <c r="BL122" s="50"/>
      <c r="BM122" s="50"/>
      <c r="BN122" s="50"/>
      <c r="BO122" s="50"/>
      <c r="BP122" s="50"/>
      <c r="BQ122" s="50"/>
      <c r="BR122" s="111"/>
      <c r="BS122" s="50"/>
      <c r="BT122" s="50"/>
      <c r="BU122" s="111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</row>
    <row r="123" spans="1:89" ht="15" thickBot="1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111"/>
      <c r="BA123" s="50"/>
      <c r="BB123" s="50"/>
      <c r="BC123" s="50"/>
      <c r="BD123" s="50"/>
      <c r="BE123" s="50"/>
      <c r="BF123" s="50"/>
      <c r="BG123" s="50"/>
      <c r="BH123" s="50"/>
      <c r="BI123" s="50"/>
      <c r="BJ123" s="111"/>
      <c r="BK123" s="50"/>
      <c r="BL123" s="50"/>
      <c r="BM123" s="50"/>
      <c r="BN123" s="50"/>
      <c r="BO123" s="50"/>
      <c r="BP123" s="50"/>
      <c r="BQ123" s="50"/>
      <c r="BR123" s="111"/>
      <c r="BS123" s="50"/>
      <c r="BT123" s="50"/>
      <c r="BU123" s="111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</row>
    <row r="124" spans="1:89" ht="15" thickBot="1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111"/>
      <c r="BA124" s="50"/>
      <c r="BB124" s="50"/>
      <c r="BC124" s="50"/>
      <c r="BD124" s="50"/>
      <c r="BE124" s="50"/>
      <c r="BF124" s="50"/>
      <c r="BG124" s="50"/>
      <c r="BH124" s="50"/>
      <c r="BI124" s="50"/>
      <c r="BJ124" s="111"/>
      <c r="BK124" s="50"/>
      <c r="BL124" s="50"/>
      <c r="BM124" s="50"/>
      <c r="BN124" s="50"/>
      <c r="BO124" s="50"/>
      <c r="BP124" s="50"/>
      <c r="BQ124" s="50"/>
      <c r="BR124" s="111"/>
      <c r="BS124" s="50"/>
      <c r="BT124" s="50"/>
      <c r="BU124" s="111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</row>
    <row r="125" spans="1:89" ht="15" thickBot="1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111"/>
      <c r="BA125" s="50"/>
      <c r="BB125" s="50"/>
      <c r="BC125" s="50"/>
      <c r="BD125" s="50"/>
      <c r="BE125" s="50"/>
      <c r="BF125" s="50"/>
      <c r="BG125" s="50"/>
      <c r="BH125" s="50"/>
      <c r="BI125" s="50"/>
      <c r="BJ125" s="111"/>
      <c r="BK125" s="50"/>
      <c r="BL125" s="50"/>
      <c r="BM125" s="50"/>
      <c r="BN125" s="50"/>
      <c r="BO125" s="50"/>
      <c r="BP125" s="50"/>
      <c r="BQ125" s="50"/>
      <c r="BR125" s="111"/>
      <c r="BS125" s="50"/>
      <c r="BT125" s="50"/>
      <c r="BU125" s="111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</row>
    <row r="126" spans="1:89" ht="15" thickBot="1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111"/>
      <c r="BA126" s="50"/>
      <c r="BB126" s="50"/>
      <c r="BC126" s="50"/>
      <c r="BD126" s="50"/>
      <c r="BE126" s="50"/>
      <c r="BF126" s="50"/>
      <c r="BG126" s="50"/>
      <c r="BH126" s="50"/>
      <c r="BI126" s="50"/>
      <c r="BJ126" s="111"/>
      <c r="BK126" s="50"/>
      <c r="BL126" s="50"/>
      <c r="BM126" s="50"/>
      <c r="BN126" s="50"/>
      <c r="BO126" s="50"/>
      <c r="BP126" s="50"/>
      <c r="BQ126" s="50"/>
      <c r="BR126" s="111"/>
      <c r="BS126" s="50"/>
      <c r="BT126" s="50"/>
      <c r="BU126" s="111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</row>
    <row r="127" spans="1:89" ht="15" thickBot="1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111"/>
      <c r="BA127" s="50"/>
      <c r="BB127" s="50"/>
      <c r="BC127" s="50"/>
      <c r="BD127" s="50"/>
      <c r="BE127" s="50"/>
      <c r="BF127" s="50"/>
      <c r="BG127" s="50"/>
      <c r="BH127" s="50"/>
      <c r="BI127" s="50"/>
      <c r="BJ127" s="111"/>
      <c r="BK127" s="50"/>
      <c r="BL127" s="50"/>
      <c r="BM127" s="50"/>
      <c r="BN127" s="50"/>
      <c r="BO127" s="50"/>
      <c r="BP127" s="50"/>
      <c r="BQ127" s="50"/>
      <c r="BR127" s="111"/>
      <c r="BS127" s="50"/>
      <c r="BT127" s="50"/>
      <c r="BU127" s="111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</row>
    <row r="128" spans="1:89" ht="15" thickBo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111"/>
      <c r="BA128" s="50"/>
      <c r="BB128" s="50"/>
      <c r="BC128" s="50"/>
      <c r="BD128" s="50"/>
      <c r="BE128" s="50"/>
      <c r="BF128" s="50"/>
      <c r="BG128" s="50"/>
      <c r="BH128" s="50"/>
      <c r="BI128" s="50"/>
      <c r="BJ128" s="111"/>
      <c r="BK128" s="50"/>
      <c r="BL128" s="50"/>
      <c r="BM128" s="50"/>
      <c r="BN128" s="50"/>
      <c r="BO128" s="50"/>
      <c r="BP128" s="50"/>
      <c r="BQ128" s="50"/>
      <c r="BR128" s="111"/>
      <c r="BS128" s="50"/>
      <c r="BT128" s="50"/>
      <c r="BU128" s="111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</row>
    <row r="129" spans="1:89" ht="15" thickBot="1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111"/>
      <c r="BA129" s="50"/>
      <c r="BB129" s="50"/>
      <c r="BC129" s="50"/>
      <c r="BD129" s="50"/>
      <c r="BE129" s="50"/>
      <c r="BF129" s="50"/>
      <c r="BG129" s="50"/>
      <c r="BH129" s="50"/>
      <c r="BI129" s="50"/>
      <c r="BJ129" s="111"/>
      <c r="BK129" s="50"/>
      <c r="BL129" s="50"/>
      <c r="BM129" s="50"/>
      <c r="BN129" s="50"/>
      <c r="BO129" s="50"/>
      <c r="BP129" s="50"/>
      <c r="BQ129" s="50"/>
      <c r="BR129" s="111"/>
      <c r="BS129" s="50"/>
      <c r="BT129" s="50"/>
      <c r="BU129" s="111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</row>
    <row r="130" spans="1:89" ht="15" thickBot="1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111"/>
      <c r="BA130" s="50"/>
      <c r="BB130" s="50"/>
      <c r="BC130" s="50"/>
      <c r="BD130" s="50"/>
      <c r="BE130" s="50"/>
      <c r="BF130" s="50"/>
      <c r="BG130" s="50"/>
      <c r="BH130" s="50"/>
      <c r="BI130" s="50"/>
      <c r="BJ130" s="111"/>
      <c r="BK130" s="50"/>
      <c r="BL130" s="50"/>
      <c r="BM130" s="50"/>
      <c r="BN130" s="50"/>
      <c r="BO130" s="50"/>
      <c r="BP130" s="50"/>
      <c r="BQ130" s="50"/>
      <c r="BR130" s="111"/>
      <c r="BS130" s="50"/>
      <c r="BT130" s="50"/>
      <c r="BU130" s="111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</row>
    <row r="131" spans="1:89" ht="15" thickBot="1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111"/>
      <c r="BA131" s="50"/>
      <c r="BB131" s="50"/>
      <c r="BC131" s="50"/>
      <c r="BD131" s="50"/>
      <c r="BE131" s="50"/>
      <c r="BF131" s="50"/>
      <c r="BG131" s="50"/>
      <c r="BH131" s="50"/>
      <c r="BI131" s="50"/>
      <c r="BJ131" s="111"/>
      <c r="BK131" s="50"/>
      <c r="BL131" s="50"/>
      <c r="BM131" s="50"/>
      <c r="BN131" s="50"/>
      <c r="BO131" s="50"/>
      <c r="BP131" s="50"/>
      <c r="BQ131" s="50"/>
      <c r="BR131" s="111"/>
      <c r="BS131" s="50"/>
      <c r="BT131" s="50"/>
      <c r="BU131" s="111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</row>
    <row r="132" spans="1:89" ht="15" thickBot="1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111"/>
      <c r="BA132" s="50"/>
      <c r="BB132" s="50"/>
      <c r="BC132" s="50"/>
      <c r="BD132" s="50"/>
      <c r="BE132" s="50"/>
      <c r="BF132" s="50"/>
      <c r="BG132" s="50"/>
      <c r="BH132" s="50"/>
      <c r="BI132" s="50"/>
      <c r="BJ132" s="111"/>
      <c r="BK132" s="50"/>
      <c r="BL132" s="50"/>
      <c r="BM132" s="50"/>
      <c r="BN132" s="50"/>
      <c r="BO132" s="50"/>
      <c r="BP132" s="50"/>
      <c r="BQ132" s="50"/>
      <c r="BR132" s="111"/>
      <c r="BS132" s="50"/>
      <c r="BT132" s="50"/>
      <c r="BU132" s="111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</row>
    <row r="133" spans="1:89" ht="15" thickBot="1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111"/>
      <c r="BA133" s="50"/>
      <c r="BB133" s="50"/>
      <c r="BC133" s="50"/>
      <c r="BD133" s="50"/>
      <c r="BE133" s="50"/>
      <c r="BF133" s="50"/>
      <c r="BG133" s="50"/>
      <c r="BH133" s="50"/>
      <c r="BI133" s="50"/>
      <c r="BJ133" s="111"/>
      <c r="BK133" s="50"/>
      <c r="BL133" s="50"/>
      <c r="BM133" s="50"/>
      <c r="BN133" s="50"/>
      <c r="BO133" s="50"/>
      <c r="BP133" s="50"/>
      <c r="BQ133" s="50"/>
      <c r="BR133" s="111"/>
      <c r="BS133" s="50"/>
      <c r="BT133" s="50"/>
      <c r="BU133" s="111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</row>
    <row r="134" spans="1:89" ht="15" thickBot="1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111"/>
      <c r="BA134" s="50"/>
      <c r="BB134" s="50"/>
      <c r="BC134" s="50"/>
      <c r="BD134" s="50"/>
      <c r="BE134" s="50"/>
      <c r="BF134" s="50"/>
      <c r="BG134" s="50"/>
      <c r="BH134" s="50"/>
      <c r="BI134" s="50"/>
      <c r="BJ134" s="111"/>
      <c r="BK134" s="50"/>
      <c r="BL134" s="50"/>
      <c r="BM134" s="50"/>
      <c r="BN134" s="50"/>
      <c r="BO134" s="50"/>
      <c r="BP134" s="50"/>
      <c r="BQ134" s="50"/>
      <c r="BR134" s="111"/>
      <c r="BS134" s="50"/>
      <c r="BT134" s="50"/>
      <c r="BU134" s="111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</row>
    <row r="135" spans="1:89" ht="15" thickBot="1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111"/>
      <c r="BA135" s="50"/>
      <c r="BB135" s="112"/>
      <c r="BC135" s="50"/>
      <c r="BD135" s="50"/>
      <c r="BE135" s="50"/>
      <c r="BF135" s="50"/>
      <c r="BG135" s="50"/>
      <c r="BH135" s="50"/>
      <c r="BI135" s="50"/>
      <c r="BJ135" s="111"/>
      <c r="BK135" s="50"/>
      <c r="BL135" s="50"/>
      <c r="BM135" s="50"/>
      <c r="BN135" s="50"/>
      <c r="BO135" s="50"/>
      <c r="BP135" s="50"/>
      <c r="BQ135" s="50"/>
      <c r="BR135" s="111"/>
      <c r="BS135" s="50"/>
      <c r="BT135" s="50"/>
      <c r="BU135" s="111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</row>
    <row r="136" spans="1:89" ht="15" thickBot="1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111"/>
      <c r="BA136" s="50"/>
      <c r="BB136" s="50"/>
      <c r="BC136" s="50"/>
      <c r="BD136" s="50"/>
      <c r="BE136" s="50"/>
      <c r="BF136" s="50"/>
      <c r="BG136" s="50"/>
      <c r="BH136" s="50"/>
      <c r="BI136" s="50"/>
      <c r="BJ136" s="111"/>
      <c r="BK136" s="50"/>
      <c r="BL136" s="50"/>
      <c r="BM136" s="50"/>
      <c r="BN136" s="50"/>
      <c r="BO136" s="50"/>
      <c r="BP136" s="50"/>
      <c r="BQ136" s="50"/>
      <c r="BR136" s="111"/>
      <c r="BS136" s="50"/>
      <c r="BT136" s="50"/>
      <c r="BU136" s="111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</row>
    <row r="137" spans="1:89" ht="15" thickBot="1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111"/>
      <c r="BA137" s="50"/>
      <c r="BB137" s="50"/>
      <c r="BC137" s="50"/>
      <c r="BD137" s="50"/>
      <c r="BE137" s="50"/>
      <c r="BF137" s="50"/>
      <c r="BG137" s="50"/>
      <c r="BH137" s="50"/>
      <c r="BI137" s="50"/>
      <c r="BJ137" s="111"/>
      <c r="BK137" s="50"/>
      <c r="BL137" s="50"/>
      <c r="BM137" s="50"/>
      <c r="BN137" s="50"/>
      <c r="BO137" s="50"/>
      <c r="BP137" s="50"/>
      <c r="BQ137" s="50"/>
      <c r="BR137" s="111"/>
      <c r="BS137" s="50"/>
      <c r="BT137" s="50"/>
      <c r="BU137" s="111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</row>
    <row r="138" spans="1:89" ht="15" thickBot="1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111"/>
      <c r="BA138" s="50"/>
      <c r="BB138" s="50"/>
      <c r="BC138" s="50"/>
      <c r="BD138" s="50"/>
      <c r="BE138" s="50"/>
      <c r="BF138" s="50"/>
      <c r="BG138" s="50"/>
      <c r="BH138" s="50"/>
      <c r="BI138" s="50"/>
      <c r="BJ138" s="111"/>
      <c r="BK138" s="50"/>
      <c r="BL138" s="50"/>
      <c r="BM138" s="50"/>
      <c r="BN138" s="50"/>
      <c r="BO138" s="50"/>
      <c r="BP138" s="50"/>
      <c r="BQ138" s="50"/>
      <c r="BR138" s="111"/>
      <c r="BS138" s="50"/>
      <c r="BT138" s="50"/>
      <c r="BU138" s="111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</row>
    <row r="139" spans="1:89" ht="15" thickBot="1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111"/>
      <c r="BA139" s="50"/>
      <c r="BB139" s="50"/>
      <c r="BC139" s="50"/>
      <c r="BD139" s="50"/>
      <c r="BE139" s="50"/>
      <c r="BF139" s="50"/>
      <c r="BG139" s="50"/>
      <c r="BH139" s="50"/>
      <c r="BI139" s="50"/>
      <c r="BJ139" s="111"/>
      <c r="BK139" s="50"/>
      <c r="BL139" s="50"/>
      <c r="BM139" s="50"/>
      <c r="BN139" s="50"/>
      <c r="BO139" s="50"/>
      <c r="BP139" s="50"/>
      <c r="BQ139" s="50"/>
      <c r="BR139" s="111"/>
      <c r="BS139" s="50"/>
      <c r="BT139" s="50"/>
      <c r="BU139" s="111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</row>
    <row r="140" spans="1:89" ht="15" thickBot="1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111"/>
      <c r="BA140" s="50"/>
      <c r="BB140" s="50"/>
      <c r="BC140" s="50"/>
      <c r="BD140" s="50"/>
      <c r="BE140" s="50"/>
      <c r="BF140" s="50"/>
      <c r="BG140" s="50"/>
      <c r="BH140" s="50"/>
      <c r="BI140" s="50"/>
      <c r="BJ140" s="111"/>
      <c r="BK140" s="50"/>
      <c r="BL140" s="50"/>
      <c r="BM140" s="50"/>
      <c r="BN140" s="50"/>
      <c r="BO140" s="50"/>
      <c r="BP140" s="50"/>
      <c r="BQ140" s="50"/>
      <c r="BR140" s="111"/>
      <c r="BS140" s="50"/>
      <c r="BT140" s="50"/>
      <c r="BU140" s="111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</row>
    <row r="141" spans="1:89" ht="15" thickBot="1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111"/>
      <c r="BA141" s="50"/>
      <c r="BB141" s="50"/>
      <c r="BC141" s="50"/>
      <c r="BD141" s="50"/>
      <c r="BE141" s="50"/>
      <c r="BF141" s="50"/>
      <c r="BG141" s="50"/>
      <c r="BH141" s="50"/>
      <c r="BI141" s="50"/>
      <c r="BJ141" s="111"/>
      <c r="BK141" s="50"/>
      <c r="BL141" s="50"/>
      <c r="BM141" s="50"/>
      <c r="BN141" s="50"/>
      <c r="BO141" s="50"/>
      <c r="BP141" s="50"/>
      <c r="BQ141" s="50"/>
      <c r="BR141" s="111"/>
      <c r="BS141" s="50"/>
      <c r="BT141" s="50"/>
      <c r="BU141" s="111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</row>
    <row r="142" spans="1:89" ht="15" thickBot="1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111"/>
      <c r="BA142" s="50"/>
      <c r="BB142" s="50"/>
      <c r="BC142" s="50"/>
      <c r="BD142" s="50"/>
      <c r="BE142" s="50"/>
      <c r="BF142" s="50"/>
      <c r="BG142" s="50"/>
      <c r="BH142" s="50"/>
      <c r="BI142" s="50"/>
      <c r="BJ142" s="111"/>
      <c r="BK142" s="50"/>
      <c r="BL142" s="50"/>
      <c r="BM142" s="50"/>
      <c r="BN142" s="50"/>
      <c r="BO142" s="50"/>
      <c r="BP142" s="50"/>
      <c r="BQ142" s="50"/>
      <c r="BR142" s="111"/>
      <c r="BS142" s="50"/>
      <c r="BT142" s="50"/>
      <c r="BU142" s="111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</row>
    <row r="143" spans="1:89" ht="15" thickBot="1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111"/>
      <c r="BA143" s="50"/>
      <c r="BB143" s="50"/>
      <c r="BC143" s="50"/>
      <c r="BD143" s="50"/>
      <c r="BE143" s="50"/>
      <c r="BF143" s="50"/>
      <c r="BG143" s="50"/>
      <c r="BH143" s="50"/>
      <c r="BI143" s="50"/>
      <c r="BJ143" s="111"/>
      <c r="BK143" s="50"/>
      <c r="BL143" s="50"/>
      <c r="BM143" s="50"/>
      <c r="BN143" s="50"/>
      <c r="BO143" s="50"/>
      <c r="BP143" s="50"/>
      <c r="BQ143" s="50"/>
      <c r="BR143" s="111"/>
      <c r="BS143" s="50"/>
      <c r="BT143" s="50"/>
      <c r="BU143" s="111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</row>
    <row r="144" spans="1:89" ht="15" thickBot="1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111"/>
      <c r="BA144" s="50"/>
      <c r="BB144" s="50"/>
      <c r="BC144" s="50"/>
      <c r="BD144" s="50"/>
      <c r="BE144" s="50"/>
      <c r="BF144" s="50"/>
      <c r="BG144" s="50"/>
      <c r="BH144" s="50"/>
      <c r="BI144" s="50"/>
      <c r="BJ144" s="111"/>
      <c r="BK144" s="50"/>
      <c r="BL144" s="50"/>
      <c r="BM144" s="50"/>
      <c r="BN144" s="50"/>
      <c r="BO144" s="50"/>
      <c r="BP144" s="50"/>
      <c r="BQ144" s="50"/>
      <c r="BR144" s="111"/>
      <c r="BS144" s="50"/>
      <c r="BT144" s="50"/>
      <c r="BU144" s="111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</row>
    <row r="145" spans="1:89" ht="15" thickBot="1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111"/>
      <c r="BA145" s="50"/>
      <c r="BB145" s="50"/>
      <c r="BC145" s="50"/>
      <c r="BD145" s="50"/>
      <c r="BE145" s="50"/>
      <c r="BF145" s="50"/>
      <c r="BG145" s="50"/>
      <c r="BH145" s="50"/>
      <c r="BI145" s="50"/>
      <c r="BJ145" s="111"/>
      <c r="BK145" s="50"/>
      <c r="BL145" s="50"/>
      <c r="BM145" s="50"/>
      <c r="BN145" s="50"/>
      <c r="BO145" s="50"/>
      <c r="BP145" s="50"/>
      <c r="BQ145" s="50"/>
      <c r="BR145" s="111"/>
      <c r="BS145" s="50"/>
      <c r="BT145" s="50"/>
      <c r="BU145" s="111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</row>
    <row r="146" spans="1:89" ht="15" thickBot="1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111"/>
      <c r="BA146" s="50"/>
      <c r="BB146" s="50"/>
      <c r="BC146" s="50"/>
      <c r="BD146" s="50"/>
      <c r="BE146" s="50"/>
      <c r="BF146" s="50"/>
      <c r="BG146" s="50"/>
      <c r="BH146" s="50"/>
      <c r="BI146" s="50"/>
      <c r="BJ146" s="111"/>
      <c r="BK146" s="50"/>
      <c r="BL146" s="50"/>
      <c r="BM146" s="50"/>
      <c r="BN146" s="50"/>
      <c r="BO146" s="50"/>
      <c r="BP146" s="50"/>
      <c r="BQ146" s="50"/>
      <c r="BR146" s="111"/>
      <c r="BS146" s="50"/>
      <c r="BT146" s="50"/>
      <c r="BU146" s="111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</row>
    <row r="147" spans="1:89" ht="15" thickBot="1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111"/>
      <c r="BA147" s="50"/>
      <c r="BB147" s="50"/>
      <c r="BC147" s="50"/>
      <c r="BD147" s="50"/>
      <c r="BE147" s="50"/>
      <c r="BF147" s="50"/>
      <c r="BG147" s="50"/>
      <c r="BH147" s="50"/>
      <c r="BI147" s="50"/>
      <c r="BJ147" s="111"/>
      <c r="BK147" s="50"/>
      <c r="BL147" s="50"/>
      <c r="BM147" s="50"/>
      <c r="BN147" s="50"/>
      <c r="BO147" s="50"/>
      <c r="BP147" s="50"/>
      <c r="BQ147" s="50"/>
      <c r="BR147" s="111"/>
      <c r="BS147" s="50"/>
      <c r="BT147" s="50"/>
      <c r="BU147" s="111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</row>
    <row r="148" spans="1:89" ht="15" thickBot="1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111"/>
      <c r="BA148" s="50"/>
      <c r="BB148" s="50"/>
      <c r="BC148" s="50"/>
      <c r="BD148" s="50"/>
      <c r="BE148" s="50"/>
      <c r="BF148" s="50"/>
      <c r="BG148" s="50"/>
      <c r="BH148" s="50"/>
      <c r="BI148" s="50"/>
      <c r="BJ148" s="111"/>
      <c r="BK148" s="50"/>
      <c r="BL148" s="50"/>
      <c r="BM148" s="50"/>
      <c r="BN148" s="50"/>
      <c r="BO148" s="50"/>
      <c r="BP148" s="50"/>
      <c r="BQ148" s="50"/>
      <c r="BR148" s="111"/>
      <c r="BS148" s="50"/>
      <c r="BT148" s="50"/>
      <c r="BU148" s="111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</row>
    <row r="149" spans="1:89" ht="15" thickBot="1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111"/>
      <c r="BA149" s="50"/>
      <c r="BB149" s="50"/>
      <c r="BC149" s="50"/>
      <c r="BD149" s="50"/>
      <c r="BE149" s="50"/>
      <c r="BF149" s="50"/>
      <c r="BG149" s="50"/>
      <c r="BH149" s="50"/>
      <c r="BI149" s="50"/>
      <c r="BJ149" s="111"/>
      <c r="BK149" s="50"/>
      <c r="BL149" s="50"/>
      <c r="BM149" s="50"/>
      <c r="BN149" s="50"/>
      <c r="BO149" s="50"/>
      <c r="BP149" s="50"/>
      <c r="BQ149" s="50"/>
      <c r="BR149" s="111"/>
      <c r="BS149" s="50"/>
      <c r="BT149" s="50"/>
      <c r="BU149" s="111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</row>
    <row r="150" spans="1:89" ht="15" thickBot="1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111"/>
      <c r="BA150" s="50"/>
      <c r="BB150" s="50"/>
      <c r="BC150" s="50"/>
      <c r="BD150" s="50"/>
      <c r="BE150" s="50"/>
      <c r="BF150" s="50"/>
      <c r="BG150" s="50"/>
      <c r="BH150" s="50"/>
      <c r="BI150" s="50"/>
      <c r="BJ150" s="111"/>
      <c r="BK150" s="50"/>
      <c r="BL150" s="50"/>
      <c r="BM150" s="50"/>
      <c r="BN150" s="50"/>
      <c r="BO150" s="50"/>
      <c r="BP150" s="50"/>
      <c r="BQ150" s="50"/>
      <c r="BR150" s="111"/>
      <c r="BS150" s="50"/>
      <c r="BT150" s="50"/>
      <c r="BU150" s="111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</row>
    <row r="151" spans="1:89" ht="15" thickBot="1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111"/>
      <c r="BA151" s="50"/>
      <c r="BB151" s="50"/>
      <c r="BC151" s="50"/>
      <c r="BD151" s="50"/>
      <c r="BE151" s="50"/>
      <c r="BF151" s="50"/>
      <c r="BG151" s="50"/>
      <c r="BH151" s="50"/>
      <c r="BI151" s="50"/>
      <c r="BJ151" s="111"/>
      <c r="BK151" s="50"/>
      <c r="BL151" s="50"/>
      <c r="BM151" s="50"/>
      <c r="BN151" s="50"/>
      <c r="BO151" s="50"/>
      <c r="BP151" s="50"/>
      <c r="BQ151" s="50"/>
      <c r="BR151" s="111"/>
      <c r="BS151" s="50"/>
      <c r="BT151" s="50"/>
      <c r="BU151" s="111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</row>
    <row r="152" spans="1:89" ht="15" thickBot="1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111"/>
      <c r="BA152" s="50"/>
      <c r="BB152" s="50"/>
      <c r="BC152" s="50"/>
      <c r="BD152" s="50"/>
      <c r="BE152" s="50"/>
      <c r="BF152" s="50"/>
      <c r="BG152" s="50"/>
      <c r="BH152" s="50"/>
      <c r="BI152" s="50"/>
      <c r="BJ152" s="111"/>
      <c r="BK152" s="50"/>
      <c r="BL152" s="50"/>
      <c r="BM152" s="50"/>
      <c r="BN152" s="50"/>
      <c r="BO152" s="50"/>
      <c r="BP152" s="50"/>
      <c r="BQ152" s="50"/>
      <c r="BR152" s="111"/>
      <c r="BS152" s="50"/>
      <c r="BT152" s="50"/>
      <c r="BU152" s="111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</row>
    <row r="153" spans="1:89" ht="15" thickBot="1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111"/>
      <c r="BA153" s="50"/>
      <c r="BB153" s="50"/>
      <c r="BC153" s="50"/>
      <c r="BD153" s="50"/>
      <c r="BE153" s="50"/>
      <c r="BF153" s="50"/>
      <c r="BG153" s="50"/>
      <c r="BH153" s="50"/>
      <c r="BI153" s="50"/>
      <c r="BJ153" s="111"/>
      <c r="BK153" s="50"/>
      <c r="BL153" s="50"/>
      <c r="BM153" s="50"/>
      <c r="BN153" s="50"/>
      <c r="BO153" s="50"/>
      <c r="BP153" s="50"/>
      <c r="BQ153" s="50"/>
      <c r="BR153" s="111"/>
      <c r="BS153" s="50"/>
      <c r="BT153" s="50"/>
      <c r="BU153" s="111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</row>
    <row r="154" spans="1:89" ht="15" thickBot="1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111"/>
      <c r="BA154" s="50"/>
      <c r="BB154" s="50"/>
      <c r="BC154" s="50"/>
      <c r="BD154" s="50"/>
      <c r="BE154" s="50"/>
      <c r="BF154" s="50"/>
      <c r="BG154" s="50"/>
      <c r="BH154" s="50"/>
      <c r="BI154" s="50"/>
      <c r="BJ154" s="111"/>
      <c r="BK154" s="50"/>
      <c r="BL154" s="50"/>
      <c r="BM154" s="50"/>
      <c r="BN154" s="50"/>
      <c r="BO154" s="50"/>
      <c r="BP154" s="50"/>
      <c r="BQ154" s="50"/>
      <c r="BR154" s="111"/>
      <c r="BS154" s="50"/>
      <c r="BT154" s="50"/>
      <c r="BU154" s="111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</row>
    <row r="155" spans="1:89" ht="15" thickBot="1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111"/>
      <c r="BA155" s="50"/>
      <c r="BB155" s="50"/>
      <c r="BC155" s="50"/>
      <c r="BD155" s="50"/>
      <c r="BE155" s="50"/>
      <c r="BF155" s="50"/>
      <c r="BG155" s="50"/>
      <c r="BH155" s="50"/>
      <c r="BI155" s="50"/>
      <c r="BJ155" s="111"/>
      <c r="BK155" s="50"/>
      <c r="BL155" s="50"/>
      <c r="BM155" s="50"/>
      <c r="BN155" s="50"/>
      <c r="BO155" s="50"/>
      <c r="BP155" s="50"/>
      <c r="BQ155" s="50"/>
      <c r="BR155" s="111"/>
      <c r="BS155" s="50"/>
      <c r="BT155" s="50"/>
      <c r="BU155" s="111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</row>
    <row r="156" spans="1:89" ht="15" thickBot="1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111"/>
      <c r="BA156" s="50"/>
      <c r="BB156" s="50"/>
      <c r="BC156" s="50"/>
      <c r="BD156" s="50"/>
      <c r="BE156" s="50"/>
      <c r="BF156" s="50"/>
      <c r="BG156" s="50"/>
      <c r="BH156" s="50"/>
      <c r="BI156" s="50"/>
      <c r="BJ156" s="111"/>
      <c r="BK156" s="50"/>
      <c r="BL156" s="50"/>
      <c r="BM156" s="50"/>
      <c r="BN156" s="50"/>
      <c r="BO156" s="50"/>
      <c r="BP156" s="50"/>
      <c r="BQ156" s="50"/>
      <c r="BR156" s="111"/>
      <c r="BS156" s="50"/>
      <c r="BT156" s="50"/>
      <c r="BU156" s="111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</row>
    <row r="157" spans="1:89" ht="15" thickBot="1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111"/>
      <c r="BA157" s="50"/>
      <c r="BB157" s="50"/>
      <c r="BC157" s="50"/>
      <c r="BD157" s="50"/>
      <c r="BE157" s="50"/>
      <c r="BF157" s="50"/>
      <c r="BG157" s="50"/>
      <c r="BH157" s="50"/>
      <c r="BI157" s="50"/>
      <c r="BJ157" s="111"/>
      <c r="BK157" s="50"/>
      <c r="BL157" s="50"/>
      <c r="BM157" s="50"/>
      <c r="BN157" s="50"/>
      <c r="BO157" s="50"/>
      <c r="BP157" s="50"/>
      <c r="BQ157" s="50"/>
      <c r="BR157" s="111"/>
      <c r="BS157" s="50"/>
      <c r="BT157" s="50"/>
      <c r="BU157" s="111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</row>
    <row r="158" spans="1:89" ht="15" thickBot="1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111"/>
      <c r="BA158" s="50"/>
      <c r="BB158" s="50"/>
      <c r="BC158" s="50"/>
      <c r="BD158" s="50"/>
      <c r="BE158" s="50"/>
      <c r="BF158" s="50"/>
      <c r="BG158" s="50"/>
      <c r="BH158" s="50"/>
      <c r="BI158" s="50"/>
      <c r="BJ158" s="111"/>
      <c r="BK158" s="50"/>
      <c r="BL158" s="50"/>
      <c r="BM158" s="50"/>
      <c r="BN158" s="50"/>
      <c r="BO158" s="50"/>
      <c r="BP158" s="50"/>
      <c r="BQ158" s="50"/>
      <c r="BR158" s="111"/>
      <c r="BS158" s="50"/>
      <c r="BT158" s="50"/>
      <c r="BU158" s="111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</row>
    <row r="159" spans="1:89" ht="15" thickBot="1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111"/>
      <c r="BA159" s="50"/>
      <c r="BB159" s="50"/>
      <c r="BC159" s="50"/>
      <c r="BD159" s="50"/>
      <c r="BE159" s="50"/>
      <c r="BF159" s="50"/>
      <c r="BG159" s="50"/>
      <c r="BH159" s="50"/>
      <c r="BI159" s="50"/>
      <c r="BJ159" s="111"/>
      <c r="BK159" s="50"/>
      <c r="BL159" s="50"/>
      <c r="BM159" s="50"/>
      <c r="BN159" s="50"/>
      <c r="BO159" s="50"/>
      <c r="BP159" s="50"/>
      <c r="BQ159" s="50"/>
      <c r="BR159" s="111"/>
      <c r="BS159" s="50"/>
      <c r="BT159" s="50"/>
      <c r="BU159" s="111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</row>
    <row r="160" spans="1:89" ht="15" thickBot="1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111"/>
      <c r="BA160" s="50"/>
      <c r="BB160" s="50"/>
      <c r="BC160" s="50"/>
      <c r="BD160" s="50"/>
      <c r="BE160" s="50"/>
      <c r="BF160" s="50"/>
      <c r="BG160" s="50"/>
      <c r="BH160" s="50"/>
      <c r="BI160" s="50"/>
      <c r="BJ160" s="111"/>
      <c r="BK160" s="50"/>
      <c r="BL160" s="50"/>
      <c r="BM160" s="50"/>
      <c r="BN160" s="50"/>
      <c r="BO160" s="50"/>
      <c r="BP160" s="50"/>
      <c r="BQ160" s="50"/>
      <c r="BR160" s="111"/>
      <c r="BS160" s="50"/>
      <c r="BT160" s="50"/>
      <c r="BU160" s="111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</row>
    <row r="161" spans="1:89" ht="15" thickBot="1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111"/>
      <c r="BA161" s="50"/>
      <c r="BB161" s="50"/>
      <c r="BC161" s="50"/>
      <c r="BD161" s="50"/>
      <c r="BE161" s="50"/>
      <c r="BF161" s="50"/>
      <c r="BG161" s="50"/>
      <c r="BH161" s="50"/>
      <c r="BI161" s="50"/>
      <c r="BJ161" s="111"/>
      <c r="BK161" s="50"/>
      <c r="BL161" s="50"/>
      <c r="BM161" s="50"/>
      <c r="BN161" s="50"/>
      <c r="BO161" s="50"/>
      <c r="BP161" s="50"/>
      <c r="BQ161" s="50"/>
      <c r="BR161" s="111"/>
      <c r="BS161" s="50"/>
      <c r="BT161" s="50"/>
      <c r="BU161" s="111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</row>
    <row r="162" spans="1:89" ht="15" thickBot="1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111"/>
      <c r="BA162" s="50"/>
      <c r="BB162" s="50"/>
      <c r="BC162" s="50"/>
      <c r="BD162" s="50"/>
      <c r="BE162" s="50"/>
      <c r="BF162" s="50"/>
      <c r="BG162" s="50"/>
      <c r="BH162" s="50"/>
      <c r="BI162" s="50"/>
      <c r="BJ162" s="111"/>
      <c r="BK162" s="50"/>
      <c r="BL162" s="50"/>
      <c r="BM162" s="50"/>
      <c r="BN162" s="50"/>
      <c r="BO162" s="50"/>
      <c r="BP162" s="50"/>
      <c r="BQ162" s="50"/>
      <c r="BR162" s="111"/>
      <c r="BS162" s="50"/>
      <c r="BT162" s="50"/>
      <c r="BU162" s="111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</row>
    <row r="163" spans="1:89" ht="15" thickBot="1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111"/>
      <c r="BA163" s="50"/>
      <c r="BB163" s="50"/>
      <c r="BC163" s="50"/>
      <c r="BD163" s="50"/>
      <c r="BE163" s="50"/>
      <c r="BF163" s="50"/>
      <c r="BG163" s="50"/>
      <c r="BH163" s="50"/>
      <c r="BI163" s="50"/>
      <c r="BJ163" s="111"/>
      <c r="BK163" s="50"/>
      <c r="BL163" s="50"/>
      <c r="BM163" s="50"/>
      <c r="BN163" s="50"/>
      <c r="BO163" s="50"/>
      <c r="BP163" s="50"/>
      <c r="BQ163" s="50"/>
      <c r="BR163" s="111"/>
      <c r="BS163" s="50"/>
      <c r="BT163" s="50"/>
      <c r="BU163" s="111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</row>
    <row r="164" spans="1:89" ht="15" thickBot="1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111"/>
      <c r="BA164" s="50"/>
      <c r="BB164" s="50"/>
      <c r="BC164" s="50"/>
      <c r="BD164" s="50"/>
      <c r="BE164" s="50"/>
      <c r="BF164" s="50"/>
      <c r="BG164" s="50"/>
      <c r="BH164" s="50"/>
      <c r="BI164" s="50"/>
      <c r="BJ164" s="111"/>
      <c r="BK164" s="50"/>
      <c r="BL164" s="50"/>
      <c r="BM164" s="50"/>
      <c r="BN164" s="50"/>
      <c r="BO164" s="50"/>
      <c r="BP164" s="50"/>
      <c r="BQ164" s="50"/>
      <c r="BR164" s="111"/>
      <c r="BS164" s="50"/>
      <c r="BT164" s="50"/>
      <c r="BU164" s="111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</row>
    <row r="165" spans="1:89" ht="15" thickBot="1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111"/>
      <c r="BA165" s="50"/>
      <c r="BB165" s="50"/>
      <c r="BC165" s="50"/>
      <c r="BD165" s="50"/>
      <c r="BE165" s="50"/>
      <c r="BF165" s="50"/>
      <c r="BG165" s="50"/>
      <c r="BH165" s="50"/>
      <c r="BI165" s="50"/>
      <c r="BJ165" s="111"/>
      <c r="BK165" s="50"/>
      <c r="BL165" s="50"/>
      <c r="BM165" s="50"/>
      <c r="BN165" s="50"/>
      <c r="BO165" s="50"/>
      <c r="BP165" s="50"/>
      <c r="BQ165" s="50"/>
      <c r="BR165" s="111"/>
      <c r="BS165" s="50"/>
      <c r="BT165" s="50"/>
      <c r="BU165" s="111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</row>
    <row r="166" spans="1:89" ht="15" thickBot="1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111"/>
      <c r="BA166" s="50"/>
      <c r="BB166" s="50"/>
      <c r="BC166" s="50"/>
      <c r="BD166" s="50"/>
      <c r="BE166" s="50"/>
      <c r="BF166" s="50"/>
      <c r="BG166" s="50"/>
      <c r="BH166" s="50"/>
      <c r="BI166" s="50"/>
      <c r="BJ166" s="111"/>
      <c r="BK166" s="50"/>
      <c r="BL166" s="50"/>
      <c r="BM166" s="50"/>
      <c r="BN166" s="50"/>
      <c r="BO166" s="50"/>
      <c r="BP166" s="50"/>
      <c r="BQ166" s="50"/>
      <c r="BR166" s="111"/>
      <c r="BS166" s="50"/>
      <c r="BT166" s="50"/>
      <c r="BU166" s="111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</row>
    <row r="167" spans="1:89" ht="15" thickBot="1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111"/>
      <c r="BA167" s="50"/>
      <c r="BB167" s="50"/>
      <c r="BC167" s="50"/>
      <c r="BD167" s="50"/>
      <c r="BE167" s="50"/>
      <c r="BF167" s="50"/>
      <c r="BG167" s="50"/>
      <c r="BH167" s="50"/>
      <c r="BI167" s="50"/>
      <c r="BJ167" s="111"/>
      <c r="BK167" s="50"/>
      <c r="BL167" s="50"/>
      <c r="BM167" s="50"/>
      <c r="BN167" s="50"/>
      <c r="BO167" s="50"/>
      <c r="BP167" s="50"/>
      <c r="BQ167" s="50"/>
      <c r="BR167" s="111"/>
      <c r="BS167" s="50"/>
      <c r="BT167" s="50"/>
      <c r="BU167" s="111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</row>
    <row r="168" spans="1:89" ht="15" thickBot="1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111"/>
      <c r="BA168" s="50"/>
      <c r="BB168" s="50"/>
      <c r="BC168" s="50"/>
      <c r="BD168" s="50"/>
      <c r="BE168" s="50"/>
      <c r="BF168" s="50"/>
      <c r="BG168" s="50"/>
      <c r="BH168" s="50"/>
      <c r="BI168" s="50"/>
      <c r="BJ168" s="111"/>
      <c r="BK168" s="50"/>
      <c r="BL168" s="50"/>
      <c r="BM168" s="50"/>
      <c r="BN168" s="50"/>
      <c r="BO168" s="50"/>
      <c r="BP168" s="50"/>
      <c r="BQ168" s="50"/>
      <c r="BR168" s="111"/>
      <c r="BS168" s="50"/>
      <c r="BT168" s="50"/>
      <c r="BU168" s="111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</row>
    <row r="169" spans="1:89" ht="15" thickBot="1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111"/>
      <c r="BA169" s="50"/>
      <c r="BB169" s="50"/>
      <c r="BC169" s="50"/>
      <c r="BD169" s="50"/>
      <c r="BE169" s="50"/>
      <c r="BF169" s="50"/>
      <c r="BG169" s="50"/>
      <c r="BH169" s="50"/>
      <c r="BI169" s="50"/>
      <c r="BJ169" s="111"/>
      <c r="BK169" s="50"/>
      <c r="BL169" s="50"/>
      <c r="BM169" s="50"/>
      <c r="BN169" s="50"/>
      <c r="BO169" s="50"/>
      <c r="BP169" s="50"/>
      <c r="BQ169" s="50"/>
      <c r="BR169" s="111"/>
      <c r="BS169" s="50"/>
      <c r="BT169" s="50"/>
      <c r="BU169" s="111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</row>
    <row r="170" spans="1:89" ht="15" thickBot="1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111"/>
      <c r="BA170" s="50"/>
      <c r="BB170" s="50"/>
      <c r="BC170" s="50"/>
      <c r="BD170" s="50"/>
      <c r="BE170" s="50"/>
      <c r="BF170" s="50"/>
      <c r="BG170" s="50"/>
      <c r="BH170" s="50"/>
      <c r="BI170" s="50"/>
      <c r="BJ170" s="111"/>
      <c r="BK170" s="50"/>
      <c r="BL170" s="50"/>
      <c r="BM170" s="50"/>
      <c r="BN170" s="50"/>
      <c r="BO170" s="50"/>
      <c r="BP170" s="50"/>
      <c r="BQ170" s="50"/>
      <c r="BR170" s="111"/>
      <c r="BS170" s="50"/>
      <c r="BT170" s="50"/>
      <c r="BU170" s="111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</row>
    <row r="171" spans="1:89" ht="15" thickBot="1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111"/>
      <c r="BA171" s="50"/>
      <c r="BB171" s="50"/>
      <c r="BC171" s="50"/>
      <c r="BD171" s="50"/>
      <c r="BE171" s="50"/>
      <c r="BF171" s="50"/>
      <c r="BG171" s="50"/>
      <c r="BH171" s="50"/>
      <c r="BI171" s="50"/>
      <c r="BJ171" s="111"/>
      <c r="BK171" s="50"/>
      <c r="BL171" s="50"/>
      <c r="BM171" s="50"/>
      <c r="BN171" s="50"/>
      <c r="BO171" s="50"/>
      <c r="BP171" s="50"/>
      <c r="BQ171" s="50"/>
      <c r="BR171" s="111"/>
      <c r="BS171" s="50"/>
      <c r="BT171" s="50"/>
      <c r="BU171" s="111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</row>
    <row r="172" spans="1:89" ht="15" thickBot="1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111"/>
      <c r="BA172" s="50"/>
      <c r="BB172" s="50"/>
      <c r="BC172" s="50"/>
      <c r="BD172" s="50"/>
      <c r="BE172" s="50"/>
      <c r="BF172" s="50"/>
      <c r="BG172" s="50"/>
      <c r="BH172" s="50"/>
      <c r="BI172" s="50"/>
      <c r="BJ172" s="111"/>
      <c r="BK172" s="50"/>
      <c r="BL172" s="50"/>
      <c r="BM172" s="50"/>
      <c r="BN172" s="50"/>
      <c r="BO172" s="50"/>
      <c r="BP172" s="50"/>
      <c r="BQ172" s="50"/>
      <c r="BR172" s="111"/>
      <c r="BS172" s="50"/>
      <c r="BT172" s="50"/>
      <c r="BU172" s="111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</row>
    <row r="173" spans="1:89" ht="15" thickBot="1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111"/>
      <c r="BA173" s="50"/>
      <c r="BB173" s="50"/>
      <c r="BC173" s="50"/>
      <c r="BD173" s="50"/>
      <c r="BE173" s="50"/>
      <c r="BF173" s="50"/>
      <c r="BG173" s="50"/>
      <c r="BH173" s="50"/>
      <c r="BI173" s="50"/>
      <c r="BJ173" s="111"/>
      <c r="BK173" s="50"/>
      <c r="BL173" s="50"/>
      <c r="BM173" s="50"/>
      <c r="BN173" s="50"/>
      <c r="BO173" s="50"/>
      <c r="BP173" s="50"/>
      <c r="BQ173" s="50"/>
      <c r="BR173" s="111"/>
      <c r="BS173" s="50"/>
      <c r="BT173" s="50"/>
      <c r="BU173" s="111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</row>
    <row r="174" spans="1:89" ht="15" thickBot="1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111"/>
      <c r="BA174" s="50"/>
      <c r="BB174" s="50"/>
      <c r="BC174" s="50"/>
      <c r="BD174" s="50"/>
      <c r="BE174" s="50"/>
      <c r="BF174" s="50"/>
      <c r="BG174" s="50"/>
      <c r="BH174" s="50"/>
      <c r="BI174" s="50"/>
      <c r="BJ174" s="111"/>
      <c r="BK174" s="50"/>
      <c r="BL174" s="50"/>
      <c r="BM174" s="50"/>
      <c r="BN174" s="50"/>
      <c r="BO174" s="50"/>
      <c r="BP174" s="50"/>
      <c r="BQ174" s="50"/>
      <c r="BR174" s="111"/>
      <c r="BS174" s="50"/>
      <c r="BT174" s="50"/>
      <c r="BU174" s="111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</row>
    <row r="175" spans="1:89" ht="15" thickBot="1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111"/>
      <c r="BA175" s="50"/>
      <c r="BB175" s="50"/>
      <c r="BC175" s="50"/>
      <c r="BD175" s="50"/>
      <c r="BE175" s="50"/>
      <c r="BF175" s="50"/>
      <c r="BG175" s="50"/>
      <c r="BH175" s="50"/>
      <c r="BI175" s="50"/>
      <c r="BJ175" s="111"/>
      <c r="BK175" s="50"/>
      <c r="BL175" s="50"/>
      <c r="BM175" s="50"/>
      <c r="BN175" s="50"/>
      <c r="BO175" s="50"/>
      <c r="BP175" s="50"/>
      <c r="BQ175" s="50"/>
      <c r="BR175" s="111"/>
      <c r="BS175" s="50"/>
      <c r="BT175" s="50"/>
      <c r="BU175" s="111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</row>
    <row r="176" spans="1:89" ht="15" thickBot="1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111"/>
      <c r="BA176" s="50"/>
      <c r="BB176" s="50"/>
      <c r="BC176" s="50"/>
      <c r="BD176" s="50"/>
      <c r="BE176" s="50"/>
      <c r="BF176" s="50"/>
      <c r="BG176" s="50"/>
      <c r="BH176" s="50"/>
      <c r="BI176" s="50"/>
      <c r="BJ176" s="111"/>
      <c r="BK176" s="50"/>
      <c r="BL176" s="50"/>
      <c r="BM176" s="50"/>
      <c r="BN176" s="50"/>
      <c r="BO176" s="50"/>
      <c r="BP176" s="50"/>
      <c r="BQ176" s="50"/>
      <c r="BR176" s="111"/>
      <c r="BS176" s="50"/>
      <c r="BT176" s="50"/>
      <c r="BU176" s="111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</row>
    <row r="177" spans="1:89" ht="15" thickBot="1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111"/>
      <c r="BA177" s="50"/>
      <c r="BB177" s="50"/>
      <c r="BC177" s="50"/>
      <c r="BD177" s="50"/>
      <c r="BE177" s="50"/>
      <c r="BF177" s="50"/>
      <c r="BG177" s="50"/>
      <c r="BH177" s="50"/>
      <c r="BI177" s="50"/>
      <c r="BJ177" s="111"/>
      <c r="BK177" s="50"/>
      <c r="BL177" s="50"/>
      <c r="BM177" s="50"/>
      <c r="BN177" s="50"/>
      <c r="BO177" s="50"/>
      <c r="BP177" s="50"/>
      <c r="BQ177" s="50"/>
      <c r="BR177" s="111"/>
      <c r="BS177" s="50"/>
      <c r="BT177" s="50"/>
      <c r="BU177" s="111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</row>
    <row r="178" spans="1:89" ht="15" thickBot="1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111"/>
      <c r="BA178" s="50"/>
      <c r="BB178" s="50"/>
      <c r="BC178" s="50"/>
      <c r="BD178" s="50"/>
      <c r="BE178" s="50"/>
      <c r="BF178" s="50"/>
      <c r="BG178" s="50"/>
      <c r="BH178" s="50"/>
      <c r="BI178" s="50"/>
      <c r="BJ178" s="111"/>
      <c r="BK178" s="50"/>
      <c r="BL178" s="50"/>
      <c r="BM178" s="50"/>
      <c r="BN178" s="50"/>
      <c r="BO178" s="50"/>
      <c r="BP178" s="50"/>
      <c r="BQ178" s="50"/>
      <c r="BR178" s="111"/>
      <c r="BS178" s="50"/>
      <c r="BT178" s="50"/>
      <c r="BU178" s="111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</row>
    <row r="179" spans="1:89" ht="15" thickBot="1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111"/>
      <c r="BA179" s="50"/>
      <c r="BB179" s="50"/>
      <c r="BC179" s="50"/>
      <c r="BD179" s="50"/>
      <c r="BE179" s="50"/>
      <c r="BF179" s="50"/>
      <c r="BG179" s="50"/>
      <c r="BH179" s="50"/>
      <c r="BI179" s="50"/>
      <c r="BJ179" s="111"/>
      <c r="BK179" s="50"/>
      <c r="BL179" s="50"/>
      <c r="BM179" s="50"/>
      <c r="BN179" s="50"/>
      <c r="BO179" s="50"/>
      <c r="BP179" s="50"/>
      <c r="BQ179" s="50"/>
      <c r="BR179" s="111"/>
      <c r="BS179" s="50"/>
      <c r="BT179" s="50"/>
      <c r="BU179" s="111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</row>
    <row r="180" spans="1:89" ht="15" thickBot="1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111"/>
      <c r="BA180" s="50"/>
      <c r="BB180" s="50"/>
      <c r="BC180" s="50"/>
      <c r="BD180" s="50"/>
      <c r="BE180" s="50"/>
      <c r="BF180" s="50"/>
      <c r="BG180" s="50"/>
      <c r="BH180" s="50"/>
      <c r="BI180" s="50"/>
      <c r="BJ180" s="111"/>
      <c r="BK180" s="50"/>
      <c r="BL180" s="50"/>
      <c r="BM180" s="50"/>
      <c r="BN180" s="50"/>
      <c r="BO180" s="50"/>
      <c r="BP180" s="50"/>
      <c r="BQ180" s="50"/>
      <c r="BR180" s="111"/>
      <c r="BS180" s="50"/>
      <c r="BT180" s="50"/>
      <c r="BU180" s="111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</row>
    <row r="181" spans="1:89" ht="15" thickBot="1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111"/>
      <c r="BA181" s="50"/>
      <c r="BB181" s="50"/>
      <c r="BC181" s="50"/>
      <c r="BD181" s="50"/>
      <c r="BE181" s="50"/>
      <c r="BF181" s="50"/>
      <c r="BG181" s="50"/>
      <c r="BH181" s="50"/>
      <c r="BI181" s="50"/>
      <c r="BJ181" s="111"/>
      <c r="BK181" s="50"/>
      <c r="BL181" s="50"/>
      <c r="BM181" s="50"/>
      <c r="BN181" s="50"/>
      <c r="BO181" s="50"/>
      <c r="BP181" s="50"/>
      <c r="BQ181" s="50"/>
      <c r="BR181" s="111"/>
      <c r="BS181" s="50"/>
      <c r="BT181" s="50"/>
      <c r="BU181" s="111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</row>
    <row r="182" spans="1:89" ht="15" thickBot="1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111"/>
      <c r="BA182" s="50"/>
      <c r="BB182" s="50"/>
      <c r="BC182" s="50"/>
      <c r="BD182" s="50"/>
      <c r="BE182" s="50"/>
      <c r="BF182" s="50"/>
      <c r="BG182" s="50"/>
      <c r="BH182" s="50"/>
      <c r="BI182" s="50"/>
      <c r="BJ182" s="111"/>
      <c r="BK182" s="50"/>
      <c r="BL182" s="50"/>
      <c r="BM182" s="50"/>
      <c r="BN182" s="50"/>
      <c r="BO182" s="50"/>
      <c r="BP182" s="50"/>
      <c r="BQ182" s="50"/>
      <c r="BR182" s="111"/>
      <c r="BS182" s="50"/>
      <c r="BT182" s="50"/>
      <c r="BU182" s="111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</row>
    <row r="183" spans="1:89" ht="15" thickBot="1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111"/>
      <c r="BA183" s="50"/>
      <c r="BB183" s="50"/>
      <c r="BC183" s="50"/>
      <c r="BD183" s="50"/>
      <c r="BE183" s="50"/>
      <c r="BF183" s="50"/>
      <c r="BG183" s="50"/>
      <c r="BH183" s="50"/>
      <c r="BI183" s="50"/>
      <c r="BJ183" s="111"/>
      <c r="BK183" s="50"/>
      <c r="BL183" s="50"/>
      <c r="BM183" s="50"/>
      <c r="BN183" s="50"/>
      <c r="BO183" s="50"/>
      <c r="BP183" s="50"/>
      <c r="BQ183" s="50"/>
      <c r="BR183" s="111"/>
      <c r="BS183" s="50"/>
      <c r="BT183" s="50"/>
      <c r="BU183" s="111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</row>
    <row r="184" spans="1:89" ht="15" thickBot="1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111"/>
      <c r="BA184" s="50"/>
      <c r="BB184" s="50"/>
      <c r="BC184" s="50"/>
      <c r="BD184" s="50"/>
      <c r="BE184" s="50"/>
      <c r="BF184" s="50"/>
      <c r="BG184" s="50"/>
      <c r="BH184" s="50"/>
      <c r="BI184" s="50"/>
      <c r="BJ184" s="111"/>
      <c r="BK184" s="50"/>
      <c r="BL184" s="50"/>
      <c r="BM184" s="50"/>
      <c r="BN184" s="50"/>
      <c r="BO184" s="50"/>
      <c r="BP184" s="50"/>
      <c r="BQ184" s="50"/>
      <c r="BR184" s="111"/>
      <c r="BS184" s="50"/>
      <c r="BT184" s="50"/>
      <c r="BU184" s="111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</row>
    <row r="185" spans="1:89" ht="15" thickBot="1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111"/>
      <c r="BA185" s="50"/>
      <c r="BB185" s="50"/>
      <c r="BC185" s="50"/>
      <c r="BD185" s="50"/>
      <c r="BE185" s="50"/>
      <c r="BF185" s="50"/>
      <c r="BG185" s="50"/>
      <c r="BH185" s="50"/>
      <c r="BI185" s="50"/>
      <c r="BJ185" s="111"/>
      <c r="BK185" s="50"/>
      <c r="BL185" s="50"/>
      <c r="BM185" s="50"/>
      <c r="BN185" s="50"/>
      <c r="BO185" s="50"/>
      <c r="BP185" s="50"/>
      <c r="BQ185" s="50"/>
      <c r="BR185" s="111"/>
      <c r="BS185" s="50"/>
      <c r="BT185" s="50"/>
      <c r="BU185" s="111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</row>
    <row r="186" spans="1:89" ht="15" thickBot="1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111"/>
      <c r="BA186" s="50"/>
      <c r="BB186" s="50"/>
      <c r="BC186" s="50"/>
      <c r="BD186" s="50"/>
      <c r="BE186" s="50"/>
      <c r="BF186" s="50"/>
      <c r="BG186" s="50"/>
      <c r="BH186" s="50"/>
      <c r="BI186" s="50"/>
      <c r="BJ186" s="111"/>
      <c r="BK186" s="50"/>
      <c r="BL186" s="50"/>
      <c r="BM186" s="50"/>
      <c r="BN186" s="50"/>
      <c r="BO186" s="50"/>
      <c r="BP186" s="50"/>
      <c r="BQ186" s="50"/>
      <c r="BR186" s="111"/>
      <c r="BS186" s="50"/>
      <c r="BT186" s="50"/>
      <c r="BU186" s="111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</row>
    <row r="187" spans="1:89" ht="15" thickBot="1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111"/>
      <c r="BA187" s="50"/>
      <c r="BB187" s="50"/>
      <c r="BC187" s="50"/>
      <c r="BD187" s="50"/>
      <c r="BE187" s="50"/>
      <c r="BF187" s="50"/>
      <c r="BG187" s="50"/>
      <c r="BH187" s="50"/>
      <c r="BI187" s="50"/>
      <c r="BJ187" s="111"/>
      <c r="BK187" s="50"/>
      <c r="BL187" s="50"/>
      <c r="BM187" s="50"/>
      <c r="BN187" s="50"/>
      <c r="BO187" s="50"/>
      <c r="BP187" s="50"/>
      <c r="BQ187" s="50"/>
      <c r="BR187" s="111"/>
      <c r="BS187" s="50"/>
      <c r="BT187" s="50"/>
      <c r="BU187" s="111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</row>
    <row r="188" spans="1:89" ht="15" thickBot="1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111"/>
      <c r="BA188" s="50"/>
      <c r="BB188" s="50"/>
      <c r="BC188" s="50"/>
      <c r="BD188" s="50"/>
      <c r="BE188" s="50"/>
      <c r="BF188" s="50"/>
      <c r="BG188" s="50"/>
      <c r="BH188" s="50"/>
      <c r="BI188" s="50"/>
      <c r="BJ188" s="111"/>
      <c r="BK188" s="50"/>
      <c r="BL188" s="50"/>
      <c r="BM188" s="50"/>
      <c r="BN188" s="50"/>
      <c r="BO188" s="50"/>
      <c r="BP188" s="50"/>
      <c r="BQ188" s="50"/>
      <c r="BR188" s="111"/>
      <c r="BS188" s="50"/>
      <c r="BT188" s="50"/>
      <c r="BU188" s="111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</row>
    <row r="189" spans="1:89" ht="15" thickBot="1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111"/>
      <c r="BA189" s="50"/>
      <c r="BB189" s="50"/>
      <c r="BC189" s="50"/>
      <c r="BD189" s="50"/>
      <c r="BE189" s="50"/>
      <c r="BF189" s="50"/>
      <c r="BG189" s="50"/>
      <c r="BH189" s="50"/>
      <c r="BI189" s="50"/>
      <c r="BJ189" s="111"/>
      <c r="BK189" s="50"/>
      <c r="BL189" s="50"/>
      <c r="BM189" s="50"/>
      <c r="BN189" s="50"/>
      <c r="BO189" s="50"/>
      <c r="BP189" s="50"/>
      <c r="BQ189" s="50"/>
      <c r="BR189" s="111"/>
      <c r="BS189" s="50"/>
      <c r="BT189" s="50"/>
      <c r="BU189" s="111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</row>
    <row r="190" spans="1:89" ht="15" thickBot="1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111"/>
      <c r="BA190" s="50"/>
      <c r="BB190" s="50"/>
      <c r="BC190" s="50"/>
      <c r="BD190" s="50"/>
      <c r="BE190" s="50"/>
      <c r="BF190" s="50"/>
      <c r="BG190" s="50"/>
      <c r="BH190" s="50"/>
      <c r="BI190" s="50"/>
      <c r="BJ190" s="111"/>
      <c r="BK190" s="50"/>
      <c r="BL190" s="50"/>
      <c r="BM190" s="50"/>
      <c r="BN190" s="50"/>
      <c r="BO190" s="50"/>
      <c r="BP190" s="50"/>
      <c r="BQ190" s="50"/>
      <c r="BR190" s="111"/>
      <c r="BS190" s="50"/>
      <c r="BT190" s="50"/>
      <c r="BU190" s="111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</row>
    <row r="191" spans="1:89" ht="15" thickBot="1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111"/>
      <c r="BA191" s="50"/>
      <c r="BB191" s="50"/>
      <c r="BC191" s="50"/>
      <c r="BD191" s="50"/>
      <c r="BE191" s="50"/>
      <c r="BF191" s="50"/>
      <c r="BG191" s="50"/>
      <c r="BH191" s="50"/>
      <c r="BI191" s="50"/>
      <c r="BJ191" s="111"/>
      <c r="BK191" s="50"/>
      <c r="BL191" s="50"/>
      <c r="BM191" s="50"/>
      <c r="BN191" s="50"/>
      <c r="BO191" s="50"/>
      <c r="BP191" s="50"/>
      <c r="BQ191" s="50"/>
      <c r="BR191" s="111"/>
      <c r="BS191" s="50"/>
      <c r="BT191" s="50"/>
      <c r="BU191" s="111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</row>
    <row r="192" spans="1:89" ht="15" thickBot="1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111"/>
      <c r="BA192" s="50"/>
      <c r="BB192" s="50"/>
      <c r="BC192" s="50"/>
      <c r="BD192" s="50"/>
      <c r="BE192" s="50"/>
      <c r="BF192" s="50"/>
      <c r="BG192" s="50"/>
      <c r="BH192" s="50"/>
      <c r="BI192" s="50"/>
      <c r="BJ192" s="111"/>
      <c r="BK192" s="50"/>
      <c r="BL192" s="50"/>
      <c r="BM192" s="50"/>
      <c r="BN192" s="50"/>
      <c r="BO192" s="50"/>
      <c r="BP192" s="50"/>
      <c r="BQ192" s="50"/>
      <c r="BR192" s="111"/>
      <c r="BS192" s="50"/>
      <c r="BT192" s="50"/>
      <c r="BU192" s="111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</row>
    <row r="193" spans="1:89" ht="15" thickBot="1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111"/>
      <c r="BA193" s="50"/>
      <c r="BB193" s="50"/>
      <c r="BC193" s="50"/>
      <c r="BD193" s="50"/>
      <c r="BE193" s="50"/>
      <c r="BF193" s="50"/>
      <c r="BG193" s="50"/>
      <c r="BH193" s="50"/>
      <c r="BI193" s="50"/>
      <c r="BJ193" s="111"/>
      <c r="BK193" s="50"/>
      <c r="BL193" s="50"/>
      <c r="BM193" s="50"/>
      <c r="BN193" s="50"/>
      <c r="BO193" s="50"/>
      <c r="BP193" s="50"/>
      <c r="BQ193" s="50"/>
      <c r="BR193" s="111"/>
      <c r="BS193" s="50"/>
      <c r="BT193" s="50"/>
      <c r="BU193" s="111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</row>
    <row r="194" spans="1:89" ht="15" thickBot="1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111"/>
      <c r="BA194" s="50"/>
      <c r="BB194" s="50"/>
      <c r="BC194" s="50"/>
      <c r="BD194" s="50"/>
      <c r="BE194" s="50"/>
      <c r="BF194" s="50"/>
      <c r="BG194" s="50"/>
      <c r="BH194" s="50"/>
      <c r="BI194" s="50"/>
      <c r="BJ194" s="111"/>
      <c r="BK194" s="50"/>
      <c r="BL194" s="50"/>
      <c r="BM194" s="50"/>
      <c r="BN194" s="50"/>
      <c r="BO194" s="50"/>
      <c r="BP194" s="50"/>
      <c r="BQ194" s="50"/>
      <c r="BR194" s="111"/>
      <c r="BS194" s="50"/>
      <c r="BT194" s="50"/>
      <c r="BU194" s="111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</row>
    <row r="195" spans="1:89" ht="15" thickBot="1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111"/>
      <c r="BA195" s="50"/>
      <c r="BB195" s="50"/>
      <c r="BC195" s="50"/>
      <c r="BD195" s="50"/>
      <c r="BE195" s="50"/>
      <c r="BF195" s="50"/>
      <c r="BG195" s="50"/>
      <c r="BH195" s="50"/>
      <c r="BI195" s="50"/>
      <c r="BJ195" s="111"/>
      <c r="BK195" s="50"/>
      <c r="BL195" s="50"/>
      <c r="BM195" s="50"/>
      <c r="BN195" s="50"/>
      <c r="BO195" s="50"/>
      <c r="BP195" s="50"/>
      <c r="BQ195" s="50"/>
      <c r="BR195" s="111"/>
      <c r="BS195" s="50"/>
      <c r="BT195" s="50"/>
      <c r="BU195" s="111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</row>
    <row r="196" spans="1:89" ht="15" thickBot="1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111"/>
      <c r="BA196" s="50"/>
      <c r="BB196" s="50"/>
      <c r="BC196" s="50"/>
      <c r="BD196" s="50"/>
      <c r="BE196" s="50"/>
      <c r="BF196" s="50"/>
      <c r="BG196" s="50"/>
      <c r="BH196" s="50"/>
      <c r="BI196" s="50"/>
      <c r="BJ196" s="111"/>
      <c r="BK196" s="50"/>
      <c r="BL196" s="50"/>
      <c r="BM196" s="50"/>
      <c r="BN196" s="50"/>
      <c r="BO196" s="50"/>
      <c r="BP196" s="50"/>
      <c r="BQ196" s="50"/>
      <c r="BR196" s="111"/>
      <c r="BS196" s="50"/>
      <c r="BT196" s="50"/>
      <c r="BU196" s="111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</row>
    <row r="197" spans="1:89" ht="15" thickBot="1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111"/>
      <c r="BA197" s="50"/>
      <c r="BB197" s="50"/>
      <c r="BC197" s="50"/>
      <c r="BD197" s="50"/>
      <c r="BE197" s="50"/>
      <c r="BF197" s="50"/>
      <c r="BG197" s="50"/>
      <c r="BH197" s="50"/>
      <c r="BI197" s="50"/>
      <c r="BJ197" s="111"/>
      <c r="BK197" s="50"/>
      <c r="BL197" s="50"/>
      <c r="BM197" s="50"/>
      <c r="BN197" s="50"/>
      <c r="BO197" s="50"/>
      <c r="BP197" s="50"/>
      <c r="BQ197" s="50"/>
      <c r="BR197" s="111"/>
      <c r="BS197" s="50"/>
      <c r="BT197" s="50"/>
      <c r="BU197" s="111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</row>
    <row r="198" spans="1:89" ht="15" thickBot="1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111"/>
      <c r="BA198" s="50"/>
      <c r="BB198" s="50"/>
      <c r="BC198" s="50"/>
      <c r="BD198" s="50"/>
      <c r="BE198" s="50"/>
      <c r="BF198" s="50"/>
      <c r="BG198" s="50"/>
      <c r="BH198" s="50"/>
      <c r="BI198" s="50"/>
      <c r="BJ198" s="111"/>
      <c r="BK198" s="50"/>
      <c r="BL198" s="50"/>
      <c r="BM198" s="50"/>
      <c r="BN198" s="50"/>
      <c r="BO198" s="50"/>
      <c r="BP198" s="50"/>
      <c r="BQ198" s="50"/>
      <c r="BR198" s="111"/>
      <c r="BS198" s="50"/>
      <c r="BT198" s="50"/>
      <c r="BU198" s="111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</row>
    <row r="199" spans="1:89" ht="15" thickBot="1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111"/>
      <c r="BA199" s="50"/>
      <c r="BB199" s="50"/>
      <c r="BC199" s="50"/>
      <c r="BD199" s="50"/>
      <c r="BE199" s="50"/>
      <c r="BF199" s="50"/>
      <c r="BG199" s="50"/>
      <c r="BH199" s="50"/>
      <c r="BI199" s="50"/>
      <c r="BJ199" s="111"/>
      <c r="BK199" s="50"/>
      <c r="BL199" s="50"/>
      <c r="BM199" s="50"/>
      <c r="BN199" s="50"/>
      <c r="BO199" s="50"/>
      <c r="BP199" s="50"/>
      <c r="BQ199" s="50"/>
      <c r="BR199" s="111"/>
      <c r="BS199" s="50"/>
      <c r="BT199" s="50"/>
      <c r="BU199" s="111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</row>
    <row r="200" spans="1:89" ht="15" thickBot="1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111"/>
      <c r="BA200" s="50"/>
      <c r="BB200" s="50"/>
      <c r="BC200" s="50"/>
      <c r="BD200" s="50"/>
      <c r="BE200" s="50"/>
      <c r="BF200" s="50"/>
      <c r="BG200" s="50"/>
      <c r="BH200" s="50"/>
      <c r="BI200" s="50"/>
      <c r="BJ200" s="111"/>
      <c r="BK200" s="50"/>
      <c r="BL200" s="50"/>
      <c r="BM200" s="50"/>
      <c r="BN200" s="50"/>
      <c r="BO200" s="50"/>
      <c r="BP200" s="50"/>
      <c r="BQ200" s="50"/>
      <c r="BR200" s="111"/>
      <c r="BS200" s="50"/>
      <c r="BT200" s="50"/>
      <c r="BU200" s="111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</row>
    <row r="201" spans="1:89" ht="15" thickBot="1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111"/>
      <c r="BA201" s="50"/>
      <c r="BB201" s="50"/>
      <c r="BC201" s="50"/>
      <c r="BD201" s="50"/>
      <c r="BE201" s="50"/>
      <c r="BF201" s="50"/>
      <c r="BG201" s="50"/>
      <c r="BH201" s="50"/>
      <c r="BI201" s="50"/>
      <c r="BJ201" s="111"/>
      <c r="BK201" s="50"/>
      <c r="BL201" s="50"/>
      <c r="BM201" s="50"/>
      <c r="BN201" s="50"/>
      <c r="BO201" s="50"/>
      <c r="BP201" s="50"/>
      <c r="BQ201" s="50"/>
      <c r="BR201" s="111"/>
      <c r="BS201" s="50"/>
      <c r="BT201" s="50"/>
      <c r="BU201" s="111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</row>
    <row r="202" spans="1:89" ht="15" thickBot="1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111"/>
      <c r="BA202" s="50"/>
      <c r="BB202" s="50"/>
      <c r="BC202" s="50"/>
      <c r="BD202" s="50"/>
      <c r="BE202" s="50"/>
      <c r="BF202" s="50"/>
      <c r="BG202" s="50"/>
      <c r="BH202" s="50"/>
      <c r="BI202" s="50"/>
      <c r="BJ202" s="111"/>
      <c r="BK202" s="50"/>
      <c r="BL202" s="50"/>
      <c r="BM202" s="50"/>
      <c r="BN202" s="50"/>
      <c r="BO202" s="50"/>
      <c r="BP202" s="50"/>
      <c r="BQ202" s="50"/>
      <c r="BR202" s="111"/>
      <c r="BS202" s="50"/>
      <c r="BT202" s="50"/>
      <c r="BU202" s="111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</row>
    <row r="203" spans="1:89" ht="15" thickBot="1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111"/>
      <c r="BA203" s="50"/>
      <c r="BB203" s="50"/>
      <c r="BC203" s="50"/>
      <c r="BD203" s="50"/>
      <c r="BE203" s="50"/>
      <c r="BF203" s="50"/>
      <c r="BG203" s="50"/>
      <c r="BH203" s="50"/>
      <c r="BI203" s="50"/>
      <c r="BJ203" s="111"/>
      <c r="BK203" s="50"/>
      <c r="BL203" s="50"/>
      <c r="BM203" s="50"/>
      <c r="BN203" s="50"/>
      <c r="BO203" s="50"/>
      <c r="BP203" s="50"/>
      <c r="BQ203" s="50"/>
      <c r="BR203" s="111"/>
      <c r="BS203" s="50"/>
      <c r="BT203" s="50"/>
      <c r="BU203" s="111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</row>
    <row r="204" spans="1:89" ht="15" thickBot="1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111"/>
      <c r="BA204" s="50"/>
      <c r="BB204" s="50"/>
      <c r="BC204" s="50"/>
      <c r="BD204" s="50"/>
      <c r="BE204" s="50"/>
      <c r="BF204" s="50"/>
      <c r="BG204" s="50"/>
      <c r="BH204" s="50"/>
      <c r="BI204" s="50"/>
      <c r="BJ204" s="111"/>
      <c r="BK204" s="50"/>
      <c r="BL204" s="50"/>
      <c r="BM204" s="50"/>
      <c r="BN204" s="50"/>
      <c r="BO204" s="50"/>
      <c r="BP204" s="50"/>
      <c r="BQ204" s="50"/>
      <c r="BR204" s="111"/>
      <c r="BS204" s="50"/>
      <c r="BT204" s="50"/>
      <c r="BU204" s="111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</row>
    <row r="205" spans="1:89" ht="15" thickBot="1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111"/>
      <c r="BA205" s="50"/>
      <c r="BB205" s="50"/>
      <c r="BC205" s="50"/>
      <c r="BD205" s="50"/>
      <c r="BE205" s="50"/>
      <c r="BF205" s="50"/>
      <c r="BG205" s="50"/>
      <c r="BH205" s="50"/>
      <c r="BI205" s="50"/>
      <c r="BJ205" s="111"/>
      <c r="BK205" s="50"/>
      <c r="BL205" s="50"/>
      <c r="BM205" s="50"/>
      <c r="BN205" s="50"/>
      <c r="BO205" s="50"/>
      <c r="BP205" s="50"/>
      <c r="BQ205" s="50"/>
      <c r="BR205" s="111"/>
      <c r="BS205" s="50"/>
      <c r="BT205" s="50"/>
      <c r="BU205" s="111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</row>
    <row r="206" spans="1:89" ht="15" thickBot="1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111"/>
      <c r="BA206" s="50"/>
      <c r="BB206" s="50"/>
      <c r="BC206" s="50"/>
      <c r="BD206" s="50"/>
      <c r="BE206" s="50"/>
      <c r="BF206" s="50"/>
      <c r="BG206" s="50"/>
      <c r="BH206" s="50"/>
      <c r="BI206" s="50"/>
      <c r="BJ206" s="111"/>
      <c r="BK206" s="50"/>
      <c r="BL206" s="50"/>
      <c r="BM206" s="50"/>
      <c r="BN206" s="50"/>
      <c r="BO206" s="50"/>
      <c r="BP206" s="50"/>
      <c r="BQ206" s="50"/>
      <c r="BR206" s="111"/>
      <c r="BS206" s="50"/>
      <c r="BT206" s="50"/>
      <c r="BU206" s="111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</row>
    <row r="207" spans="1:89" ht="15" thickBot="1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111"/>
      <c r="BA207" s="50"/>
      <c r="BB207" s="50"/>
      <c r="BC207" s="50"/>
      <c r="BD207" s="50"/>
      <c r="BE207" s="50"/>
      <c r="BF207" s="50"/>
      <c r="BG207" s="50"/>
      <c r="BH207" s="50"/>
      <c r="BI207" s="50"/>
      <c r="BJ207" s="111"/>
      <c r="BK207" s="50"/>
      <c r="BL207" s="50"/>
      <c r="BM207" s="50"/>
      <c r="BN207" s="50"/>
      <c r="BO207" s="50"/>
      <c r="BP207" s="50"/>
      <c r="BQ207" s="50"/>
      <c r="BR207" s="111"/>
      <c r="BS207" s="50"/>
      <c r="BT207" s="50"/>
      <c r="BU207" s="111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</row>
    <row r="208" spans="1:89" ht="15" thickBot="1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111"/>
      <c r="BA208" s="50"/>
      <c r="BB208" s="50"/>
      <c r="BC208" s="50"/>
      <c r="BD208" s="50"/>
      <c r="BE208" s="50"/>
      <c r="BF208" s="50"/>
      <c r="BG208" s="50"/>
      <c r="BH208" s="50"/>
      <c r="BI208" s="50"/>
      <c r="BJ208" s="111"/>
      <c r="BK208" s="50"/>
      <c r="BL208" s="50"/>
      <c r="BM208" s="50"/>
      <c r="BN208" s="50"/>
      <c r="BO208" s="50"/>
      <c r="BP208" s="50"/>
      <c r="BQ208" s="50"/>
      <c r="BR208" s="111"/>
      <c r="BS208" s="50"/>
      <c r="BT208" s="50"/>
      <c r="BU208" s="111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</row>
    <row r="209" spans="1:89" ht="15" thickBot="1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111"/>
      <c r="BA209" s="50"/>
      <c r="BB209" s="50"/>
      <c r="BC209" s="50"/>
      <c r="BD209" s="50"/>
      <c r="BE209" s="50"/>
      <c r="BF209" s="50"/>
      <c r="BG209" s="50"/>
      <c r="BH209" s="50"/>
      <c r="BI209" s="50"/>
      <c r="BJ209" s="111"/>
      <c r="BK209" s="50"/>
      <c r="BL209" s="50"/>
      <c r="BM209" s="50"/>
      <c r="BN209" s="50"/>
      <c r="BO209" s="50"/>
      <c r="BP209" s="50"/>
      <c r="BQ209" s="50"/>
      <c r="BR209" s="111"/>
      <c r="BS209" s="50"/>
      <c r="BT209" s="50"/>
      <c r="BU209" s="111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</row>
    <row r="210" spans="1:89" ht="15" thickBot="1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111"/>
      <c r="BA210" s="50"/>
      <c r="BB210" s="50"/>
      <c r="BC210" s="50"/>
      <c r="BD210" s="50"/>
      <c r="BE210" s="50"/>
      <c r="BF210" s="50"/>
      <c r="BG210" s="50"/>
      <c r="BH210" s="50"/>
      <c r="BI210" s="50"/>
      <c r="BJ210" s="111"/>
      <c r="BK210" s="50"/>
      <c r="BL210" s="50"/>
      <c r="BM210" s="50"/>
      <c r="BN210" s="50"/>
      <c r="BO210" s="50"/>
      <c r="BP210" s="50"/>
      <c r="BQ210" s="50"/>
      <c r="BR210" s="111"/>
      <c r="BS210" s="50"/>
      <c r="BT210" s="50"/>
      <c r="BU210" s="111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</row>
    <row r="211" spans="1:89" ht="15" thickBot="1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111"/>
      <c r="BA211" s="50"/>
      <c r="BB211" s="50"/>
      <c r="BC211" s="50"/>
      <c r="BD211" s="50"/>
      <c r="BE211" s="50"/>
      <c r="BF211" s="50"/>
      <c r="BG211" s="50"/>
      <c r="BH211" s="50"/>
      <c r="BI211" s="50"/>
      <c r="BJ211" s="111"/>
      <c r="BK211" s="50"/>
      <c r="BL211" s="50"/>
      <c r="BM211" s="50"/>
      <c r="BN211" s="50"/>
      <c r="BO211" s="50"/>
      <c r="BP211" s="50"/>
      <c r="BQ211" s="50"/>
      <c r="BR211" s="111"/>
      <c r="BS211" s="50"/>
      <c r="BT211" s="50"/>
      <c r="BU211" s="111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</row>
    <row r="212" spans="1:89" ht="15" thickBot="1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111"/>
      <c r="BA212" s="50"/>
      <c r="BB212" s="50"/>
      <c r="BC212" s="50"/>
      <c r="BD212" s="50"/>
      <c r="BE212" s="50"/>
      <c r="BF212" s="50"/>
      <c r="BG212" s="50"/>
      <c r="BH212" s="50"/>
      <c r="BI212" s="50"/>
      <c r="BJ212" s="111"/>
      <c r="BK212" s="50"/>
      <c r="BL212" s="50"/>
      <c r="BM212" s="50"/>
      <c r="BN212" s="50"/>
      <c r="BO212" s="50"/>
      <c r="BP212" s="50"/>
      <c r="BQ212" s="50"/>
      <c r="BR212" s="111"/>
      <c r="BS212" s="50"/>
      <c r="BT212" s="50"/>
      <c r="BU212" s="111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</row>
    <row r="213" spans="1:89" ht="15" thickBot="1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111"/>
      <c r="BA213" s="50"/>
      <c r="BB213" s="50"/>
      <c r="BC213" s="50"/>
      <c r="BD213" s="50"/>
      <c r="BE213" s="50"/>
      <c r="BF213" s="50"/>
      <c r="BG213" s="50"/>
      <c r="BH213" s="50"/>
      <c r="BI213" s="50"/>
      <c r="BJ213" s="111"/>
      <c r="BK213" s="50"/>
      <c r="BL213" s="50"/>
      <c r="BM213" s="50"/>
      <c r="BN213" s="50"/>
      <c r="BO213" s="50"/>
      <c r="BP213" s="50"/>
      <c r="BQ213" s="50"/>
      <c r="BR213" s="111"/>
      <c r="BS213" s="50"/>
      <c r="BT213" s="50"/>
      <c r="BU213" s="111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</row>
    <row r="214" spans="1:89" ht="15" thickBot="1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111"/>
      <c r="BA214" s="50"/>
      <c r="BB214" s="50"/>
      <c r="BC214" s="50"/>
      <c r="BD214" s="50"/>
      <c r="BE214" s="50"/>
      <c r="BF214" s="50"/>
      <c r="BG214" s="50"/>
      <c r="BH214" s="50"/>
      <c r="BI214" s="50"/>
      <c r="BJ214" s="111"/>
      <c r="BK214" s="50"/>
      <c r="BL214" s="50"/>
      <c r="BM214" s="50"/>
      <c r="BN214" s="50"/>
      <c r="BO214" s="50"/>
      <c r="BP214" s="50"/>
      <c r="BQ214" s="50"/>
      <c r="BR214" s="111"/>
      <c r="BS214" s="50"/>
      <c r="BT214" s="50"/>
      <c r="BU214" s="111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</row>
    <row r="215" spans="1:89" ht="15" thickBot="1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111"/>
      <c r="BA215" s="50"/>
      <c r="BB215" s="50"/>
      <c r="BC215" s="50"/>
      <c r="BD215" s="50"/>
      <c r="BE215" s="50"/>
      <c r="BF215" s="50"/>
      <c r="BG215" s="50"/>
      <c r="BH215" s="50"/>
      <c r="BI215" s="50"/>
      <c r="BJ215" s="111"/>
      <c r="BK215" s="50"/>
      <c r="BL215" s="50"/>
      <c r="BM215" s="50"/>
      <c r="BN215" s="50"/>
      <c r="BO215" s="50"/>
      <c r="BP215" s="50"/>
      <c r="BQ215" s="50"/>
      <c r="BR215" s="111"/>
      <c r="BS215" s="50"/>
      <c r="BT215" s="50"/>
      <c r="BU215" s="111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</row>
    <row r="216" spans="1:89" ht="15" thickBot="1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111"/>
      <c r="BA216" s="50"/>
      <c r="BB216" s="50"/>
      <c r="BC216" s="50"/>
      <c r="BD216" s="50"/>
      <c r="BE216" s="50"/>
      <c r="BF216" s="50"/>
      <c r="BG216" s="50"/>
      <c r="BH216" s="50"/>
      <c r="BI216" s="50"/>
      <c r="BJ216" s="111"/>
      <c r="BK216" s="50"/>
      <c r="BL216" s="50"/>
      <c r="BM216" s="50"/>
      <c r="BN216" s="50"/>
      <c r="BO216" s="50"/>
      <c r="BP216" s="50"/>
      <c r="BQ216" s="50"/>
      <c r="BR216" s="111"/>
      <c r="BS216" s="50"/>
      <c r="BT216" s="50"/>
      <c r="BU216" s="111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</row>
    <row r="217" spans="1:89" ht="15" thickBot="1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111"/>
      <c r="BA217" s="50"/>
      <c r="BB217" s="50"/>
      <c r="BC217" s="50"/>
      <c r="BD217" s="50"/>
      <c r="BE217" s="50"/>
      <c r="BF217" s="50"/>
      <c r="BG217" s="50"/>
      <c r="BH217" s="50"/>
      <c r="BI217" s="50"/>
      <c r="BJ217" s="111"/>
      <c r="BK217" s="50"/>
      <c r="BL217" s="50"/>
      <c r="BM217" s="50"/>
      <c r="BN217" s="50"/>
      <c r="BO217" s="50"/>
      <c r="BP217" s="50"/>
      <c r="BQ217" s="50"/>
      <c r="BR217" s="111"/>
      <c r="BS217" s="50"/>
      <c r="BT217" s="50"/>
      <c r="BU217" s="111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</row>
  </sheetData>
  <autoFilter ref="A2:CK67" xr:uid="{00000000-0001-0000-0100-000000000000}"/>
  <mergeCells count="9">
    <mergeCell ref="AL1:AS1"/>
    <mergeCell ref="AT1:AT2"/>
    <mergeCell ref="AV1:AV2"/>
    <mergeCell ref="AX1:AX2"/>
    <mergeCell ref="A1:H1"/>
    <mergeCell ref="I1:L1"/>
    <mergeCell ref="N1:Y1"/>
    <mergeCell ref="Z1:AE1"/>
    <mergeCell ref="AF1:AK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0000000}">
          <x14:formula1>
            <xm:f>EDAD!$B$6:$B$14</xm:f>
          </x14:formula1>
          <xm:sqref>B218:B500</xm:sqref>
        </x14:dataValidation>
        <x14:dataValidation type="list" allowBlank="1" showInputMessage="1" showErrorMessage="1" xr:uid="{00000000-0002-0000-0100-000001000000}">
          <x14:formula1>
            <xm:f>SEXO!$B$5:$B$6</xm:f>
          </x14:formula1>
          <xm:sqref>C218:C500</xm:sqref>
        </x14:dataValidation>
        <x14:dataValidation type="list" allowBlank="1" showInputMessage="1" showErrorMessage="1" xr:uid="{00000000-0002-0000-0100-000002000000}">
          <x14:formula1>
            <xm:f>REGIMEN!$B$6:$B$9</xm:f>
          </x14:formula1>
          <xm:sqref>D218:D500</xm:sqref>
        </x14:dataValidation>
        <x14:dataValidation type="list" allowBlank="1" showInputMessage="1" showErrorMessage="1" xr:uid="{00000000-0002-0000-0100-000003000000}">
          <x14:formula1>
            <xm:f>EPS!$B$6:$B$21</xm:f>
          </x14:formula1>
          <xm:sqref>E218:E500</xm:sqref>
        </x14:dataValidation>
        <x14:dataValidation type="list" allowBlank="1" showInputMessage="1" showErrorMessage="1" xr:uid="{00000000-0002-0000-0100-000004000000}">
          <x14:formula1>
            <xm:f>RESIDENCIA!$B$6:$B$8</xm:f>
          </x14:formula1>
          <xm:sqref>G218:G500</xm:sqref>
        </x14:dataValidation>
        <x14:dataValidation type="list" allowBlank="1" showInputMessage="1" showErrorMessage="1" xr:uid="{00000000-0002-0000-0100-000005000000}">
          <x14:formula1>
            <xm:f>CONDICIONES!$B$7:$B$15</xm:f>
          </x14:formula1>
          <xm:sqref>I218:I500</xm:sqref>
        </x14:dataValidation>
        <x14:dataValidation type="list" allowBlank="1" showInputMessage="1" showErrorMessage="1" xr:uid="{00000000-0002-0000-0100-000006000000}">
          <x14:formula1>
            <xm:f>'COND-CUENTA'!$B$6:$B$8</xm:f>
          </x14:formula1>
          <xm:sqref>K218:K500</xm:sqref>
        </x14:dataValidation>
        <x14:dataValidation type="list" allowBlank="1" showInputMessage="1" showErrorMessage="1" xr:uid="{00000000-0002-0000-0100-000007000000}">
          <x14:formula1>
            <xm:f>'RESP-SERV-HOS'!$A$91:$A$97</xm:f>
          </x14:formula1>
          <xm:sqref>M218:M500</xm:sqref>
        </x14:dataValidation>
        <x14:dataValidation type="list" allowBlank="1" showInputMessage="1" showErrorMessage="1" xr:uid="{00000000-0002-0000-0100-000008000000}">
          <x14:formula1>
            <xm:f>RECOMENDARIA!$A$24:$A$27</xm:f>
          </x14:formula1>
          <xm:sqref>AT218:AT500</xm:sqref>
        </x14:dataValidation>
        <x14:dataValidation type="list" allowBlank="1" showInputMessage="1" showErrorMessage="1" xr:uid="{00000000-0002-0000-0100-000009000000}">
          <x14:formula1>
            <xm:f>EVENTOS!$A$22:$A$23</xm:f>
          </x14:formula1>
          <xm:sqref>AV218:AV500</xm:sqref>
        </x14:dataValidation>
        <x14:dataValidation type="list" allowBlank="1" showInputMessage="1" showErrorMessage="1" xr:uid="{00000000-0002-0000-0100-00000A000000}">
          <x14:formula1>
            <xm:f>'D  Y D'!$A$8:$A$9</xm:f>
          </x14:formula1>
          <xm:sqref>AX218:AX500</xm:sqref>
        </x14:dataValidation>
        <x14:dataValidation type="list" allowBlank="1" showInputMessage="1" showErrorMessage="1" xr:uid="{00000000-0002-0000-0100-00000B000000}">
          <x14:formula1>
            <xm:f>'SATISFACCIÓN '!$A$25:$A$30</xm:f>
          </x14:formula1>
          <xm:sqref>AZ218:AZ500</xm:sqref>
        </x14:dataValidation>
        <x14:dataValidation type="list" allowBlank="1" showInputMessage="1" showErrorMessage="1" xr:uid="{00000000-0002-0000-0100-00000C000000}">
          <x14:formula1>
            <xm:f>CANALES!$A$5:$A$6</xm:f>
          </x14:formula1>
          <xm:sqref>BA218:BA500</xm:sqref>
        </x14:dataValidation>
        <x14:dataValidation type="list" allowBlank="1" showInputMessage="1" showErrorMessage="1" xr:uid="{00000000-0002-0000-0100-00000D000000}">
          <x14:formula1>
            <xm:f>RESPETO!$A$7:$A$14</xm:f>
          </x14:formula1>
          <xm:sqref>N218:AK500</xm:sqref>
        </x14:dataValidation>
        <x14:dataValidation type="list" allowBlank="1" showInputMessage="1" showErrorMessage="1" xr:uid="{00000000-0002-0000-0100-00000E000000}">
          <x14:formula1>
            <xm:f>'TIEMPO-AMB'!$A$6:$A$9</xm:f>
          </x14:formula1>
          <xm:sqref>AL218:AS500</xm:sqref>
        </x14:dataValidation>
        <x14:dataValidation type="list" allowBlank="1" showInputMessage="1" showErrorMessage="1" xr:uid="{00000000-0002-0000-0100-00000F000000}">
          <x14:formula1>
            <xm:f>RESIDUOS!$A$5:$A$6</xm:f>
          </x14:formula1>
          <xm:sqref>BD218:BE500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X78"/>
  <sheetViews>
    <sheetView topLeftCell="A21" workbookViewId="0">
      <selection activeCell="A13" sqref="A13"/>
    </sheetView>
  </sheetViews>
  <sheetFormatPr baseColWidth="10" defaultColWidth="11" defaultRowHeight="14.4"/>
  <cols>
    <col min="1" max="1" width="17.6640625" customWidth="1"/>
    <col min="2" max="2" width="17.33203125" customWidth="1"/>
    <col min="3" max="3" width="14" customWidth="1"/>
    <col min="4" max="4" width="14.6640625" customWidth="1"/>
    <col min="5" max="5" width="15" customWidth="1"/>
    <col min="6" max="6" width="13.33203125" customWidth="1"/>
    <col min="8" max="8" width="13.33203125" customWidth="1"/>
    <col min="9" max="9" width="13.6640625" customWidth="1"/>
    <col min="12" max="12" width="16" customWidth="1"/>
    <col min="16" max="16" width="12.33203125" customWidth="1"/>
    <col min="18" max="19" width="13.33203125" customWidth="1"/>
  </cols>
  <sheetData>
    <row r="1" spans="1:24">
      <c r="A1" t="s">
        <v>183</v>
      </c>
    </row>
    <row r="4" spans="1:24" ht="35.4" customHeight="1">
      <c r="A4" s="25"/>
      <c r="B4" s="222" t="s">
        <v>207</v>
      </c>
      <c r="C4" s="223"/>
      <c r="D4" s="223"/>
      <c r="E4" s="223"/>
      <c r="F4" s="223"/>
      <c r="G4" s="223"/>
      <c r="H4" s="223"/>
      <c r="I4" s="223"/>
      <c r="K4" s="25"/>
      <c r="L4" s="222" t="s">
        <v>207</v>
      </c>
      <c r="M4" s="223"/>
      <c r="N4" s="223"/>
      <c r="O4" s="223"/>
      <c r="P4" s="223"/>
      <c r="Q4" s="223"/>
      <c r="R4" s="223"/>
      <c r="S4" s="223"/>
    </row>
    <row r="5" spans="1:24" ht="74.25" customHeight="1">
      <c r="A5" s="25"/>
      <c r="B5" s="76" t="s">
        <v>208</v>
      </c>
      <c r="C5" s="76" t="s">
        <v>185</v>
      </c>
      <c r="D5" s="76" t="s">
        <v>209</v>
      </c>
      <c r="E5" s="76" t="s">
        <v>176</v>
      </c>
      <c r="F5" s="76" t="s">
        <v>210</v>
      </c>
      <c r="G5" s="76" t="s">
        <v>211</v>
      </c>
      <c r="H5" s="76" t="s">
        <v>191</v>
      </c>
      <c r="I5" s="76" t="s">
        <v>198</v>
      </c>
      <c r="K5" s="25"/>
      <c r="L5" s="76" t="s">
        <v>208</v>
      </c>
      <c r="M5" s="76" t="s">
        <v>185</v>
      </c>
      <c r="N5" s="76" t="s">
        <v>209</v>
      </c>
      <c r="O5" s="76" t="s">
        <v>176</v>
      </c>
      <c r="P5" s="76" t="s">
        <v>210</v>
      </c>
      <c r="Q5" s="76" t="s">
        <v>211</v>
      </c>
      <c r="R5" s="76" t="s">
        <v>191</v>
      </c>
      <c r="S5" s="76" t="s">
        <v>198</v>
      </c>
    </row>
    <row r="6" spans="1:24" ht="14.25" customHeight="1">
      <c r="A6" s="5" t="s">
        <v>199</v>
      </c>
      <c r="B6" s="27">
        <f>COUNTIF(Hospitalización!$AL$3:$AL$500,"0 - 20 Min.")</f>
        <v>15</v>
      </c>
      <c r="C6" s="27">
        <f>COUNTIF(Hospitalización!$AM$3:$AM$500,"0 - 20 Min.")</f>
        <v>23</v>
      </c>
      <c r="D6" s="27">
        <f>COUNTIF(Hospitalización!$AN$3:$AN$500,"0 - 20 Min.")</f>
        <v>0</v>
      </c>
      <c r="E6" s="27">
        <f>COUNTIF(Hospitalización!$AO$3:$AO$500,"0 - 20 Min.")</f>
        <v>0</v>
      </c>
      <c r="F6" s="27">
        <f>COUNTIF(Hospitalización!$AP$3:$AP$500,"0 - 20 Min.")</f>
        <v>16</v>
      </c>
      <c r="G6" s="27">
        <f>COUNTIF(Hospitalización!$AQ$3:$AQ$500,"0 - 20 Min.")</f>
        <v>14</v>
      </c>
      <c r="H6" s="27">
        <f>COUNTIF(Hospitalización!$AR$3:$AR$500,"0 - 20 Min.")</f>
        <v>11</v>
      </c>
      <c r="I6" s="27">
        <f>COUNTIF(Hospitalización!$AS$3:$AS$500,"0 - 20 Min.")</f>
        <v>0</v>
      </c>
      <c r="K6" s="5" t="s">
        <v>199</v>
      </c>
      <c r="L6" s="46">
        <f>+B6/$B$10</f>
        <v>0.30612244897959184</v>
      </c>
      <c r="M6" s="46">
        <f>+C6/$C$10</f>
        <v>0.46938775510204084</v>
      </c>
      <c r="N6" s="46">
        <f>+D6/$D$10</f>
        <v>0</v>
      </c>
      <c r="O6" s="46">
        <f>+E6/$E$10</f>
        <v>0</v>
      </c>
      <c r="P6" s="46">
        <f>+F6/$F$10</f>
        <v>0.32653061224489793</v>
      </c>
      <c r="Q6" s="46">
        <f>+G6/$G$10</f>
        <v>0.2857142857142857</v>
      </c>
      <c r="R6" s="46">
        <f>+H6/$H$10</f>
        <v>0.22448979591836735</v>
      </c>
      <c r="S6" s="46">
        <f>+I6/$I$10</f>
        <v>0</v>
      </c>
    </row>
    <row r="7" spans="1:24" ht="15" customHeight="1">
      <c r="A7" s="5" t="s">
        <v>200</v>
      </c>
      <c r="B7" s="27">
        <f>COUNTIF(Hospitalización!$AL$3:$AL$500,"21 a 40 Min.")</f>
        <v>32</v>
      </c>
      <c r="C7" s="27">
        <f>COUNTIF(Hospitalización!$AM$3:$AM$500,"21 a 40 Min.")</f>
        <v>24</v>
      </c>
      <c r="D7" s="27">
        <f>COUNTIF(Hospitalización!$AN$3:$AN$500,"21 a 40 Min.")</f>
        <v>2</v>
      </c>
      <c r="E7" s="27">
        <f>COUNTIF(Hospitalización!$AO$3:$AO$500,"21 a 40 Min.")</f>
        <v>0</v>
      </c>
      <c r="F7" s="27">
        <f>COUNTIF(Hospitalización!$AP$3:$AP$500,"21 a 40 Min.")</f>
        <v>18</v>
      </c>
      <c r="G7" s="27">
        <f>COUNTIF(Hospitalización!$AQ$3:$AQ$500,"21 a 40 Min.")</f>
        <v>20</v>
      </c>
      <c r="H7" s="27">
        <f>COUNTIF(Hospitalización!$AR$3:$AR$500,"21 a 40 Min.")</f>
        <v>14</v>
      </c>
      <c r="I7" s="27">
        <f>COUNTIF(Hospitalización!$AS$3:$AS$500,"21 a 40 Min.")</f>
        <v>3</v>
      </c>
      <c r="K7" s="5" t="s">
        <v>200</v>
      </c>
      <c r="L7" s="46">
        <f>+B7/$B$10</f>
        <v>0.65306122448979587</v>
      </c>
      <c r="M7" s="46">
        <f>+C7/$C$10</f>
        <v>0.48979591836734693</v>
      </c>
      <c r="N7" s="46">
        <f>+D7/$D$10</f>
        <v>4.0816326530612242E-2</v>
      </c>
      <c r="O7" s="46">
        <f>+E7/$E$10</f>
        <v>0</v>
      </c>
      <c r="P7" s="46">
        <f>+F7/$F$10</f>
        <v>0.36734693877551022</v>
      </c>
      <c r="Q7" s="46">
        <f>+G7/$G$10</f>
        <v>0.40816326530612246</v>
      </c>
      <c r="R7" s="46">
        <f>+H7/$H$10</f>
        <v>0.2857142857142857</v>
      </c>
      <c r="S7" s="46">
        <f>+I7/$I$10</f>
        <v>6.1224489795918366E-2</v>
      </c>
    </row>
    <row r="8" spans="1:24">
      <c r="A8" s="77" t="s">
        <v>201</v>
      </c>
      <c r="B8" s="27">
        <f>COUNTIF(Hospitalización!$AL$3:$AL$500,"41 Min o Más")</f>
        <v>2</v>
      </c>
      <c r="C8" s="27">
        <f>COUNTIF(Hospitalización!$AM$3:$AM$500,"41 Min o Más")</f>
        <v>2</v>
      </c>
      <c r="D8" s="27">
        <f>COUNTIF(Hospitalización!$AN$3:$AN$500,"41 Min o Más")</f>
        <v>0</v>
      </c>
      <c r="E8" s="27">
        <f>COUNTIF(Hospitalización!$AO$3:$AO$500,"41 Min o Más")</f>
        <v>2</v>
      </c>
      <c r="F8" s="27">
        <f>COUNTIF(Hospitalización!$AP$3:$AP$500,"41 Min o Más")</f>
        <v>1</v>
      </c>
      <c r="G8" s="27">
        <f>COUNTIF(Hospitalización!$AQ$3:$AQ$500,"41 Min o Más")</f>
        <v>4</v>
      </c>
      <c r="H8" s="27">
        <f>COUNTIF(Hospitalización!$AR$3:$AR$500,"41 Min o Más")</f>
        <v>2</v>
      </c>
      <c r="I8" s="27">
        <f>COUNTIF(Hospitalización!$AS$3:$AS$500,"41 Min o Más")</f>
        <v>1</v>
      </c>
      <c r="K8" s="77" t="s">
        <v>201</v>
      </c>
      <c r="L8" s="46">
        <f>+B8/$B$10</f>
        <v>4.0816326530612242E-2</v>
      </c>
      <c r="M8" s="46">
        <f>+C8/$C$10</f>
        <v>4.0816326530612242E-2</v>
      </c>
      <c r="N8" s="46">
        <f>+D8/$D$10</f>
        <v>0</v>
      </c>
      <c r="O8" s="46">
        <f>+E8/$E$10</f>
        <v>4.0816326530612242E-2</v>
      </c>
      <c r="P8" s="46">
        <f>+F8/$F$10</f>
        <v>2.0408163265306121E-2</v>
      </c>
      <c r="Q8" s="46">
        <f>+G8/$G$10</f>
        <v>8.1632653061224483E-2</v>
      </c>
      <c r="R8" s="46">
        <f>+H8/$H$10</f>
        <v>4.0816326530612242E-2</v>
      </c>
      <c r="S8" s="46">
        <f>+I8/$I$10</f>
        <v>2.0408163265306121E-2</v>
      </c>
    </row>
    <row r="9" spans="1:24">
      <c r="A9" s="77" t="s">
        <v>204</v>
      </c>
      <c r="B9" s="27">
        <f>COUNTIF(Hospitalización!$AL$3:$AL$500,"N/A")</f>
        <v>0</v>
      </c>
      <c r="C9" s="27">
        <f>COUNTIF(Hospitalización!$AM$3:$AM$500,"N/A")</f>
        <v>0</v>
      </c>
      <c r="D9" s="27">
        <f>COUNTIF(Hospitalización!$AN$3:$AN$500,"N/A")</f>
        <v>47</v>
      </c>
      <c r="E9" s="27">
        <f>COUNTIF(Hospitalización!$AO$3:$AO$500,"N/A")</f>
        <v>47</v>
      </c>
      <c r="F9" s="27">
        <f>COUNTIF(Hospitalización!$AP$3:$AP$500,"N/A")</f>
        <v>14</v>
      </c>
      <c r="G9" s="27">
        <f>COUNTIF(Hospitalización!$AQ$3:$AQ$500,"N/A")</f>
        <v>11</v>
      </c>
      <c r="H9" s="27">
        <f>COUNTIF(Hospitalización!$AR$3:$AR$500,"N/A")</f>
        <v>22</v>
      </c>
      <c r="I9" s="27">
        <f>COUNTIF(Hospitalización!$AS$3:$AS$500,"N/A")</f>
        <v>45</v>
      </c>
      <c r="K9" s="77" t="s">
        <v>204</v>
      </c>
      <c r="L9" s="46">
        <f>+B9/$B$10</f>
        <v>0</v>
      </c>
      <c r="M9" s="46">
        <f>+C9/$C$10</f>
        <v>0</v>
      </c>
      <c r="N9" s="46">
        <f>+D9/$D$10</f>
        <v>0.95918367346938771</v>
      </c>
      <c r="O9" s="46">
        <f>+E9/$E$10</f>
        <v>0.95918367346938771</v>
      </c>
      <c r="P9" s="46">
        <f>+F9/$F$10</f>
        <v>0.2857142857142857</v>
      </c>
      <c r="Q9" s="46">
        <f>+G9/$G$10</f>
        <v>0.22448979591836735</v>
      </c>
      <c r="R9" s="46">
        <f>+H9/$H$10</f>
        <v>0.44897959183673469</v>
      </c>
      <c r="S9" s="46">
        <f>+I9/$I$10</f>
        <v>0.91836734693877553</v>
      </c>
    </row>
    <row r="10" spans="1:24">
      <c r="A10" s="25"/>
      <c r="B10" s="27">
        <f>SUM(B6:B9)</f>
        <v>49</v>
      </c>
      <c r="C10" s="27">
        <f t="shared" ref="C10:I10" si="0">SUM(C6:C9)</f>
        <v>49</v>
      </c>
      <c r="D10" s="27">
        <f t="shared" si="0"/>
        <v>49</v>
      </c>
      <c r="E10" s="27">
        <f t="shared" si="0"/>
        <v>49</v>
      </c>
      <c r="F10" s="27">
        <f t="shared" si="0"/>
        <v>49</v>
      </c>
      <c r="G10" s="27">
        <f t="shared" si="0"/>
        <v>49</v>
      </c>
      <c r="H10" s="27">
        <f t="shared" si="0"/>
        <v>49</v>
      </c>
      <c r="I10" s="27">
        <f t="shared" si="0"/>
        <v>49</v>
      </c>
      <c r="K10" s="25"/>
      <c r="L10" s="25"/>
      <c r="M10" s="25"/>
      <c r="N10" s="25"/>
      <c r="O10" s="25"/>
      <c r="P10" s="25"/>
      <c r="Q10" s="25"/>
      <c r="R10" s="25"/>
      <c r="S10" s="25"/>
    </row>
    <row r="13" spans="1:24" ht="35.4" customHeight="1">
      <c r="A13" s="25"/>
      <c r="B13" s="182" t="s">
        <v>141</v>
      </c>
      <c r="C13" s="182"/>
      <c r="D13" s="182"/>
      <c r="E13" s="182"/>
      <c r="F13" s="182"/>
      <c r="G13" s="182"/>
      <c r="H13" s="182"/>
      <c r="I13" s="182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</row>
    <row r="14" spans="1:24" ht="39.75" customHeight="1">
      <c r="A14" s="25"/>
      <c r="B14" s="76" t="s">
        <v>208</v>
      </c>
      <c r="C14" s="76" t="s">
        <v>185</v>
      </c>
      <c r="D14" s="76" t="s">
        <v>209</v>
      </c>
      <c r="E14" s="76" t="s">
        <v>176</v>
      </c>
      <c r="F14" s="76" t="s">
        <v>210</v>
      </c>
      <c r="G14" s="76" t="s">
        <v>211</v>
      </c>
      <c r="H14" s="76" t="s">
        <v>191</v>
      </c>
      <c r="I14" s="76" t="s">
        <v>198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5" t="s">
        <v>199</v>
      </c>
      <c r="B15" s="27">
        <f>COUNTIFS(Hospitalización!$M$3:$M$500,"Hospitalización general",Hospitalización!$AL$3:$AL$500,"0 - 20 Min.")</f>
        <v>1</v>
      </c>
      <c r="C15" s="27">
        <f>COUNTIFS(Hospitalización!$M$3:$M$500,"Hospitalización general",Hospitalización!$AM$3:$AM$500,"0 - 20 Min.")</f>
        <v>1</v>
      </c>
      <c r="D15" s="27">
        <f>COUNTIFS(Hospitalización!$M$3:$M$500,"Hospitalización general",Hospitalización!$AN$3:$AN$500,"0 - 20 Min.")</f>
        <v>0</v>
      </c>
      <c r="E15" s="27">
        <f>COUNTIFS(Hospitalización!$M$3:$M$500,"Hospitalización general",Hospitalización!$AO$3:$AO$500,"0 - 20 Min.")</f>
        <v>0</v>
      </c>
      <c r="F15" s="27">
        <f>COUNTIFS(Hospitalización!$M$3:$M$500,"Hospitalización general",Hospitalización!$AP$3:$AP$500,"0 - 20 Min.")</f>
        <v>3</v>
      </c>
      <c r="G15" s="27">
        <f>COUNTIFS(Hospitalización!$M$3:$M$500,"Hospitalización general",Hospitalización!$AQ$3:$AQ$500,"0 - 20 Min.")</f>
        <v>1</v>
      </c>
      <c r="H15" s="27">
        <f>COUNTIFS(Hospitalización!$M$3:$M$500,"Hospitalización general",Hospitalización!$AR$3:$AR$500,"0 - 20 Min.")</f>
        <v>1</v>
      </c>
      <c r="I15" s="27">
        <f>COUNTIFS(Hospitalización!$M$3:$M$500,"Hospitalización general",Hospitalización!$AL$3:$AL$500,"0 - 20 Min.")</f>
        <v>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5" t="s">
        <v>200</v>
      </c>
      <c r="B16" s="27">
        <f>COUNTIFS(Hospitalización!$M$3:$M$500,"Hospitalización general",Hospitalización!$AL$3:$AL$500,"21 a 40 Min.")</f>
        <v>6</v>
      </c>
      <c r="C16" s="27">
        <f>COUNTIFS(Hospitalización!$M$3:$M$500,"Hospitalización general",Hospitalización!$AM$3:$AM$500,"21 a 40 Min.")</f>
        <v>6</v>
      </c>
      <c r="D16" s="27">
        <f>COUNTIFS(Hospitalización!$M$3:$M$500,"Hospitalización general",Hospitalización!$AN$3:$AN$500,"21 a 40 Min.")</f>
        <v>1</v>
      </c>
      <c r="E16" s="27">
        <f>COUNTIFS(Hospitalización!$M$3:$M$500,"Hospitalización general",Hospitalización!$AO$3:$AO$500,"21 a 40 Min.")</f>
        <v>0</v>
      </c>
      <c r="F16" s="27">
        <f>COUNTIFS(Hospitalización!$M$3:$M$500,"Hospitalización general",Hospitalización!$AP$3:$AP$500,"21 a 40 Min.")</f>
        <v>3</v>
      </c>
      <c r="G16" s="27">
        <f>COUNTIFS(Hospitalización!$M$3:$M$500,"Hospitalización general",Hospitalización!$AQ$3:$AQ$500,"21 a 40 Min.")</f>
        <v>4</v>
      </c>
      <c r="H16" s="27">
        <f>COUNTIFS(Hospitalización!$M$3:$M$500,"Hospitalización general",Hospitalización!$AR$3:$AR$500,"21 a 40 Min.")</f>
        <v>4</v>
      </c>
      <c r="I16" s="27">
        <f>COUNTIFS(Hospitalización!$M$3:$M$500,"Hospitalización general",Hospitalización!$AL$3:$AL$500,"21 a 40 Min.")</f>
        <v>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>
      <c r="A17" s="77" t="s">
        <v>201</v>
      </c>
      <c r="B17" s="27">
        <f>COUNTIFS(Hospitalización!$M$3:$M$500,"Hospitalización general",Hospitalización!$AL$3:$AL$500,"41 Min o Más")</f>
        <v>0</v>
      </c>
      <c r="C17" s="27">
        <f>COUNTIFS(Hospitalización!$M$3:$M$500,"Hospitalización general",Hospitalización!$AM$3:$AM$500,"41 Min o Más")</f>
        <v>0</v>
      </c>
      <c r="D17" s="27">
        <f>COUNTIFS(Hospitalización!$M$3:$M$500,"Hospitalización general",Hospitalización!$AN$3:$AN$500,"41 Min o Más")</f>
        <v>0</v>
      </c>
      <c r="E17" s="27">
        <f>COUNTIFS(Hospitalización!$M$3:$M$500,"Hospitalización general",Hospitalización!$AO$3:$AO$500,"41 Min o Más")</f>
        <v>1</v>
      </c>
      <c r="F17" s="27">
        <f>COUNTIFS(Hospitalización!$M$3:$M$500,"Hospitalización general",Hospitalización!$AP$3:$AP$500,"41 Min o Más")</f>
        <v>1</v>
      </c>
      <c r="G17" s="27">
        <f>COUNTIFS(Hospitalización!$M$3:$M$500,"Hospitalización general",Hospitalización!$AQ$3:$AQ$500,"41 Min o Más")</f>
        <v>2</v>
      </c>
      <c r="H17" s="27">
        <f>COUNTIFS(Hospitalización!$M$3:$M$500,"Hospitalización general",Hospitalización!$AR$3:$AR$500,"41 Min o Más")</f>
        <v>0</v>
      </c>
      <c r="I17" s="27">
        <f>COUNTIFS(Hospitalización!$M$3:$M$500,"Hospitalización general",Hospitalización!$AL$3:$AL$500,"41 Min o Más")</f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>
      <c r="A18" s="77" t="s">
        <v>204</v>
      </c>
      <c r="B18" s="27">
        <f>COUNTIFS(Hospitalización!$M$3:$M$500,"Hospitalización general",Hospitalización!$AL$3:$AL$500,"N/A")</f>
        <v>0</v>
      </c>
      <c r="C18" s="27">
        <f>COUNTIFS(Hospitalización!$M$3:$M$500,"Hospitalización general",Hospitalización!$AM$3:$AM$500,"N/A")</f>
        <v>0</v>
      </c>
      <c r="D18" s="27">
        <f>COUNTIFS(Hospitalización!$M$3:$M$500,"Hospitalización general",Hospitalización!$AN$3:$AN$500,"N/A")</f>
        <v>6</v>
      </c>
      <c r="E18" s="27">
        <f>COUNTIFS(Hospitalización!$M$3:$M$500,"Hospitalización general",Hospitalización!$AO$3:$AO$500,"N/A")</f>
        <v>6</v>
      </c>
      <c r="F18" s="27">
        <f>COUNTIFS(Hospitalización!$M$3:$M$500,"Hospitalización general",Hospitalización!$AP$3:$AP$500,"N/A")</f>
        <v>0</v>
      </c>
      <c r="G18" s="27">
        <f>COUNTIFS(Hospitalización!$M$3:$M$500,"Hospitalización general",Hospitalización!$AQ$3:$AQ$500,"N/A")</f>
        <v>0</v>
      </c>
      <c r="H18" s="27">
        <f>COUNTIFS(Hospitalización!$M$3:$M$500,"Hospitalización general",Hospitalización!$AR$3:$AR$500,"N/A")</f>
        <v>2</v>
      </c>
      <c r="I18" s="27">
        <f>COUNTIFS(Hospitalización!$M$3:$M$500,"Hospitalización general",Hospitalización!$AL$3:$AL$500,"N/A")</f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>
      <c r="A19" s="25"/>
      <c r="B19" s="27">
        <f t="shared" ref="B19:I19" si="1">SUM(B15:B18)</f>
        <v>7</v>
      </c>
      <c r="C19" s="27">
        <f t="shared" si="1"/>
        <v>7</v>
      </c>
      <c r="D19" s="27">
        <f t="shared" si="1"/>
        <v>7</v>
      </c>
      <c r="E19" s="27">
        <f t="shared" si="1"/>
        <v>7</v>
      </c>
      <c r="F19" s="27">
        <f t="shared" si="1"/>
        <v>7</v>
      </c>
      <c r="G19" s="27">
        <f t="shared" si="1"/>
        <v>7</v>
      </c>
      <c r="H19" s="27">
        <f t="shared" si="1"/>
        <v>7</v>
      </c>
      <c r="I19" s="27">
        <f t="shared" si="1"/>
        <v>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4" customHeight="1">
      <c r="A23" s="25"/>
      <c r="B23" s="219" t="s">
        <v>212</v>
      </c>
      <c r="C23" s="219"/>
      <c r="D23" s="219"/>
      <c r="E23" s="219"/>
      <c r="F23" s="219"/>
      <c r="G23" s="219"/>
      <c r="H23" s="219"/>
      <c r="I23" s="219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</row>
    <row r="24" spans="1:24" ht="39.75" customHeight="1">
      <c r="A24" s="25"/>
      <c r="B24" s="76" t="s">
        <v>208</v>
      </c>
      <c r="C24" s="76" t="s">
        <v>185</v>
      </c>
      <c r="D24" s="76" t="s">
        <v>209</v>
      </c>
      <c r="E24" s="76" t="s">
        <v>176</v>
      </c>
      <c r="F24" s="76" t="s">
        <v>210</v>
      </c>
      <c r="G24" s="76" t="s">
        <v>211</v>
      </c>
      <c r="H24" s="76" t="s">
        <v>191</v>
      </c>
      <c r="I24" s="76" t="s">
        <v>198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5" t="s">
        <v>199</v>
      </c>
      <c r="B25" s="27">
        <f>COUNTIFS(Hospitalización!$M$3:$M$500,"Hospitalización Ginecología",Hospitalización!$AL$3:$AL$500,"0 - 20 Min.")</f>
        <v>3</v>
      </c>
      <c r="C25" s="27">
        <f>COUNTIFS(Hospitalización!$M$3:$M$500,"Hospitalización Ginecología",Hospitalización!$AM$3:$AM$500,"0 - 20 Min.")</f>
        <v>3</v>
      </c>
      <c r="D25" s="27">
        <f>COUNTIFS(Hospitalización!$M$3:$M$500,"Hospitalización Ginecología",Hospitalización!$AN$3:$AN$500,"0 - 20 Min.")</f>
        <v>0</v>
      </c>
      <c r="E25" s="27">
        <f>COUNTIFS(Hospitalización!$M$3:$M$500,"Hospitalización Ginecología",Hospitalización!$AO$3:$AO$500,"0 - 20 Min.")</f>
        <v>0</v>
      </c>
      <c r="F25" s="27">
        <f>COUNTIFS(Hospitalización!$M$3:$M$500,"Hospitalización Ginecología",Hospitalización!$AP$3:$AP$500,"0 - 20 Min.")</f>
        <v>0</v>
      </c>
      <c r="G25" s="27">
        <f>COUNTIFS(Hospitalización!$M$3:$M$500,"Hospitalización Ginecología",Hospitalización!$AQ$3:$AQ$500,"0 - 20 Min.")</f>
        <v>4</v>
      </c>
      <c r="H25" s="27">
        <f>COUNTIFS(Hospitalización!$M$3:$M$500,"Hospitalización Ginecología",Hospitalización!$AR$3:$AR$500,"0 - 20 Min.")</f>
        <v>1</v>
      </c>
      <c r="I25" s="27">
        <f>COUNTIFS(Hospitalización!$M$3:$M$500,"Hospitalización Ginecología",Hospitalización!$AL$3:$AL$500,"0 - 20 Min.")</f>
        <v>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8" customHeight="1">
      <c r="A26" s="5" t="s">
        <v>200</v>
      </c>
      <c r="B26" s="27">
        <f>COUNTIFS(Hospitalización!$M$3:$M$500,"Hospitalización Ginecología",Hospitalización!$AL$3:$AL$500,"21 a 40 Min.")</f>
        <v>4</v>
      </c>
      <c r="C26" s="27">
        <f>COUNTIFS(Hospitalización!$M$3:$M$500,"Hospitalización Ginecología",Hospitalización!$AM$3:$AM$500,"21 a 40 Min.")</f>
        <v>4</v>
      </c>
      <c r="D26" s="27">
        <f>COUNTIFS(Hospitalización!$M$3:$M$500,"Hospitalización Ginecología",Hospitalización!$AN$3:$AN$500,"21 a 40 Min.")</f>
        <v>0</v>
      </c>
      <c r="E26" s="27">
        <f>COUNTIFS(Hospitalización!$M$3:$M$500,"Hospitalización Ginecología",Hospitalización!$AO$3:$AO$500,"21 a 40 Min.")</f>
        <v>0</v>
      </c>
      <c r="F26" s="27">
        <f>COUNTIFS(Hospitalización!$M$3:$M$500,"Hospitalización Ginecología",Hospitalización!$AP$3:$AP$500,"21 a 40 Min.")</f>
        <v>0</v>
      </c>
      <c r="G26" s="27">
        <f>COUNTIFS(Hospitalización!$M$3:$M$500,"Hospitalización Ginecología",Hospitalización!$AQ$3:$AQ$500,"21 a 40 Min.")</f>
        <v>3</v>
      </c>
      <c r="H26" s="27">
        <f>COUNTIFS(Hospitalización!$M$3:$M$500,"Hospitalización Ginecología",Hospitalización!$AR$3:$AR$500,"21 a 40 Min.")</f>
        <v>2</v>
      </c>
      <c r="I26" s="27">
        <f>COUNTIFS(Hospitalización!$M$3:$M$500,"Hospitalización Ginecología",Hospitalización!$AL$3:$AL$500,"21 a 40 Min.")</f>
        <v>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>
      <c r="A27" s="77" t="s">
        <v>201</v>
      </c>
      <c r="B27" s="27">
        <f>COUNTIFS(Hospitalización!$M$3:$M$500,"Hospitalización Ginecología",Hospitalización!$AL$3:$AL$500,"41 Min o Más")</f>
        <v>0</v>
      </c>
      <c r="C27" s="27">
        <f>COUNTIFS(Hospitalización!$M$3:$M$500,"Hospitalización Ginecología",Hospitalización!$AM$3:$AM$500,"41 Min o Más")</f>
        <v>0</v>
      </c>
      <c r="D27" s="27">
        <f>COUNTIFS(Hospitalización!$M$3:$M$500,"Hospitalización Ginecología",Hospitalización!$AN$3:$AN$500,"41 Min o Más")</f>
        <v>0</v>
      </c>
      <c r="E27" s="27">
        <f>COUNTIFS(Hospitalización!$M$3:$M$500,"Hospitalización Ginecología",Hospitalización!$AO$3:$AO$500,"41 Min o Más")</f>
        <v>0</v>
      </c>
      <c r="F27" s="27">
        <f>COUNTIFS(Hospitalización!$M$3:$M$500,"Hospitalización Ginecología",Hospitalización!$AP$3:$AP$500,"41 Min o Más")</f>
        <v>0</v>
      </c>
      <c r="G27" s="27">
        <f>COUNTIFS(Hospitalización!$M$3:$M$500,"Hospitalización Ginecología",Hospitalización!$AQ$3:$AQ$500,"41 Min o Más")</f>
        <v>0</v>
      </c>
      <c r="H27" s="27">
        <f>COUNTIFS(Hospitalización!$M$3:$M$500,"Hospitalización Ginecología",Hospitalización!$AR$3:$AR$500,"41 Min o Más")</f>
        <v>0</v>
      </c>
      <c r="I27" s="27">
        <f>COUNTIFS(Hospitalización!$M$3:$M$500,"Hospitalización Ginecología",Hospitalización!$AL$3:$AL$500,"41 Min o Más")</f>
        <v>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>
      <c r="A28" s="77" t="s">
        <v>204</v>
      </c>
      <c r="B28" s="27">
        <f>COUNTIFS(Hospitalización!$M$3:$M$500,"Hospitalización Ginecología",Hospitalización!$AL$3:$AL$500,"N/A")</f>
        <v>0</v>
      </c>
      <c r="C28" s="27">
        <f>COUNTIFS(Hospitalización!$M$3:$M$500,"Hospitalización Ginecología",Hospitalización!$AM$3:$AM$500,"N/A")</f>
        <v>0</v>
      </c>
      <c r="D28" s="27">
        <f>COUNTIFS(Hospitalización!$M$3:$M$500,"Hospitalización Ginecología",Hospitalización!$AN$3:$AN$500,"N/A")</f>
        <v>7</v>
      </c>
      <c r="E28" s="27">
        <f>COUNTIFS(Hospitalización!$M$3:$M$500,"Hospitalización Ginecología",Hospitalización!$AO$3:$AO$500,"N/A")</f>
        <v>7</v>
      </c>
      <c r="F28" s="27">
        <f>COUNTIFS(Hospitalización!$M$3:$M$500,"Hospitalización Ginecología",Hospitalización!$AP$3:$AP$500,"N/A")</f>
        <v>7</v>
      </c>
      <c r="G28" s="27">
        <f>COUNTIFS(Hospitalización!$M$3:$M$500,"Hospitalización Ginecología",Hospitalización!$AQ$3:$AQ$500,"N/A")</f>
        <v>0</v>
      </c>
      <c r="H28" s="27">
        <f>COUNTIFS(Hospitalización!$M$3:$M$500,"Hospitalización Ginecología",Hospitalización!$AR$3:$AR$500,"N/A")</f>
        <v>4</v>
      </c>
      <c r="I28" s="27">
        <f>COUNTIFS(Hospitalización!$M$3:$M$500,"Hospitalización Ginecología",Hospitalización!$AL$3:$AL$500,"N/A")</f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25"/>
      <c r="B29" s="27">
        <f>SUM(B25:B28)</f>
        <v>7</v>
      </c>
      <c r="C29" s="27">
        <f t="shared" ref="C29:I29" si="2">SUM(C25:C28)</f>
        <v>7</v>
      </c>
      <c r="D29" s="27">
        <f t="shared" si="2"/>
        <v>7</v>
      </c>
      <c r="E29" s="27">
        <f t="shared" si="2"/>
        <v>7</v>
      </c>
      <c r="F29" s="27">
        <f t="shared" si="2"/>
        <v>7</v>
      </c>
      <c r="G29" s="27">
        <f t="shared" si="2"/>
        <v>7</v>
      </c>
      <c r="H29" s="27">
        <f t="shared" si="2"/>
        <v>7</v>
      </c>
      <c r="I29" s="27">
        <f t="shared" si="2"/>
        <v>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4" customHeight="1">
      <c r="A32" s="25"/>
      <c r="B32" s="212" t="s">
        <v>143</v>
      </c>
      <c r="C32" s="213"/>
      <c r="D32" s="213"/>
      <c r="E32" s="213"/>
      <c r="F32" s="213"/>
      <c r="G32" s="213"/>
      <c r="H32" s="213"/>
      <c r="I32" s="213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</row>
    <row r="33" spans="1:24" ht="39.75" customHeight="1">
      <c r="A33" s="25"/>
      <c r="B33" s="76" t="s">
        <v>208</v>
      </c>
      <c r="C33" s="76" t="s">
        <v>185</v>
      </c>
      <c r="D33" s="76" t="s">
        <v>209</v>
      </c>
      <c r="E33" s="76" t="s">
        <v>176</v>
      </c>
      <c r="F33" s="76" t="s">
        <v>210</v>
      </c>
      <c r="G33" s="76" t="s">
        <v>211</v>
      </c>
      <c r="H33" s="76" t="s">
        <v>191</v>
      </c>
      <c r="I33" s="76" t="s">
        <v>198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5" t="s">
        <v>199</v>
      </c>
      <c r="B34" s="27">
        <f>COUNTIFS(Hospitalización!$M$3:$M$500,"Hospitalización Medicina  Interna",Hospitalización!$AL$3:$AL$500,"0 - 20 Min.")</f>
        <v>0</v>
      </c>
      <c r="C34" s="27">
        <f>COUNTIFS(Hospitalización!$M$3:$M$500,"Hospitalización Medicina  Interna",Hospitalización!$AM$3:$AM$500,"0 - 20 Min.")</f>
        <v>0</v>
      </c>
      <c r="D34" s="27">
        <f>COUNTIFS(Hospitalización!$M$3:$M$500,"Hospitalización Medicina  Interna",Hospitalización!$AN$3:$AN$500,"0 - 20 Min.")</f>
        <v>0</v>
      </c>
      <c r="E34" s="27">
        <f>COUNTIFS(Hospitalización!$M$3:$M$500,"Hospitalización Medicina  Interna",Hospitalización!$AO$3:$AO$500,"0 - 20 Min.")</f>
        <v>0</v>
      </c>
      <c r="F34" s="27">
        <f>COUNTIFS(Hospitalización!$M$3:$M$500,"Hospitalización Medicina  Interna",Hospitalización!$AP$3:$AP$500,"0 - 20 Min.")</f>
        <v>0</v>
      </c>
      <c r="G34" s="27">
        <f>COUNTIFS(Hospitalización!$M$3:$M$500,"Hospitalización Medicina  Interna",Hospitalización!$AQ$3:$AQ$500,"0 - 20 Min.")</f>
        <v>0</v>
      </c>
      <c r="H34" s="27">
        <f>COUNTIFS(Hospitalización!$M$3:$M$500,"Hospitalización Medicina  Interna",Hospitalización!$AR$3:$AR$500,"0 - 20 Min.")</f>
        <v>0</v>
      </c>
      <c r="I34" s="27">
        <f>COUNTIFS(Hospitalización!$M$3:$M$500,"Hospitalización Medicina  Interna",Hospitalización!$AL$3:$AL$500,"0 - 20 Min.")</f>
        <v>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8" customHeight="1">
      <c r="A35" s="5" t="s">
        <v>200</v>
      </c>
      <c r="B35" s="27">
        <f>COUNTIFS(Hospitalización!$M$3:$M$500,"Hospitalización Medicina  Interna",Hospitalización!$AL$3:$AL$500,"21 a 40 Min.")</f>
        <v>0</v>
      </c>
      <c r="C35" s="27">
        <f>COUNTIFS(Hospitalización!$M$3:$M$500,"Hospitalización Medicina  Interna",Hospitalización!$AM$3:$AM$500,"21 a 40 Min.")</f>
        <v>0</v>
      </c>
      <c r="D35" s="27">
        <f>COUNTIFS(Hospitalización!$M$3:$M$500,"Hospitalización Medicina  Interna",Hospitalización!$AN$3:$AN$500,"21 a 40 Min.")</f>
        <v>0</v>
      </c>
      <c r="E35" s="27">
        <f>COUNTIFS(Hospitalización!$M$3:$M$500,"Hospitalización Medicina  Interna",Hospitalización!$AO$3:$AO$500,"21 a 40 Min.")</f>
        <v>0</v>
      </c>
      <c r="F35" s="27">
        <f>COUNTIFS(Hospitalización!$M$3:$M$500,"Hospitalización Medicina  Interna",Hospitalización!$AP$3:$AP$500,"21 a 40 Min.")</f>
        <v>0</v>
      </c>
      <c r="G35" s="27">
        <f>COUNTIFS(Hospitalización!$M$3:$M$500,"Hospitalización Medicina  Interna",Hospitalización!$AQ$3:$AQ$500,"21 a 40 Min.")</f>
        <v>0</v>
      </c>
      <c r="H35" s="27">
        <f>COUNTIFS(Hospitalización!$M$3:$M$500,"Hospitalización Medicina  Interna",Hospitalización!$AR$3:$AR$500,"21 a 40 Min.")</f>
        <v>0</v>
      </c>
      <c r="I35" s="27">
        <f>COUNTIFS(Hospitalización!$M$3:$M$500,"Hospitalización Medicina  Interna",Hospitalización!$AL$3:$AL$500,"21 a 40 Min.")</f>
        <v>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77" t="s">
        <v>201</v>
      </c>
      <c r="B36" s="27">
        <f>COUNTIFS(Hospitalización!$M$3:$M$500,"Hospitalización Medicina  Interna",Hospitalización!$AL$3:$AL$500,"41 Min o Más")</f>
        <v>0</v>
      </c>
      <c r="C36" s="27">
        <f>COUNTIFS(Hospitalización!$M$3:$M$500,"Hospitalización Medicina  Interna",Hospitalización!$AM$3:$AM$500,"41 Min o Más")</f>
        <v>0</v>
      </c>
      <c r="D36" s="27">
        <f>COUNTIFS(Hospitalización!$M$3:$M$500,"Hospitalización Medicina  Interna",Hospitalización!$AN$3:$AN$500,"41 Min o Más")</f>
        <v>0</v>
      </c>
      <c r="E36" s="27">
        <f>COUNTIFS(Hospitalización!$M$3:$M$500,"Hospitalización Medicina  Interna",Hospitalización!$AO$3:$AO$500,"41 Min o Más")</f>
        <v>0</v>
      </c>
      <c r="F36" s="27">
        <f>COUNTIFS(Hospitalización!$M$3:$M$500,"Hospitalización Medicina  Interna",Hospitalización!$AP$3:$AP$500,"41 Min o Más")</f>
        <v>0</v>
      </c>
      <c r="G36" s="27">
        <f>COUNTIFS(Hospitalización!$M$3:$M$500,"Hospitalización Medicina  Interna",Hospitalización!$AQ$3:$AQ$500,"41 Min o Más")</f>
        <v>0</v>
      </c>
      <c r="H36" s="27">
        <f>COUNTIFS(Hospitalización!$M$3:$M$500,"Hospitalización Medicina  Interna",Hospitalización!$AR$3:$AR$500,"41 Min o Más")</f>
        <v>0</v>
      </c>
      <c r="I36" s="27">
        <f>COUNTIFS(Hospitalización!$M$3:$M$500,"Hospitalización Medicina  Interna",Hospitalización!$AL$3:$AL$500,"41 Min o Más")</f>
        <v>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77" t="s">
        <v>204</v>
      </c>
      <c r="B37" s="27">
        <f>COUNTIFS(Hospitalización!$M$3:$M$500,"Hospitalización Medicina  Interna",Hospitalización!$AL$3:$AL$500,"N/A")</f>
        <v>0</v>
      </c>
      <c r="C37" s="27">
        <f>COUNTIFS(Hospitalización!$M$3:$M$500,"Hospitalización Medicina  Interna",Hospitalización!$AM$3:$AM$500,"N/A")</f>
        <v>0</v>
      </c>
      <c r="D37" s="27">
        <f>COUNTIFS(Hospitalización!$M$3:$M$500,"Hospitalización Medicina  Interna",Hospitalización!$AN$3:$AN$500,"N/A")</f>
        <v>0</v>
      </c>
      <c r="E37" s="27">
        <f>COUNTIFS(Hospitalización!$M$3:$M$500,"Hospitalización Medicina  Interna",Hospitalización!$AO$3:$AO$500,"N/A")</f>
        <v>0</v>
      </c>
      <c r="F37" s="27">
        <f>COUNTIFS(Hospitalización!$M$3:$M$500,"Hospitalización Medicina  Interna",Hospitalización!$AP$3:$AP$500,"N/A")</f>
        <v>0</v>
      </c>
      <c r="G37" s="27">
        <f>COUNTIFS(Hospitalización!$M$3:$M$500,"Hospitalización Medicina  Interna",Hospitalización!$AQ$3:$AQ$500,"N/A")</f>
        <v>0</v>
      </c>
      <c r="H37" s="27">
        <f>COUNTIFS(Hospitalización!$M$3:$M$500,"Hospitalización Medicina  Interna",Hospitalización!$AR$3:$AR$500,"N/A")</f>
        <v>0</v>
      </c>
      <c r="I37" s="27">
        <f>COUNTIFS(Hospitalización!$M$3:$M$500,"Hospitalización Medicina  Interna",Hospitalización!$AL$3:$AL$500,"N/A")</f>
        <v>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25"/>
      <c r="B38" s="27">
        <f>SUM(B34:B37)</f>
        <v>0</v>
      </c>
      <c r="C38" s="27">
        <f t="shared" ref="C38:I38" si="3">SUM(C34:C37)</f>
        <v>0</v>
      </c>
      <c r="D38" s="27">
        <f t="shared" si="3"/>
        <v>0</v>
      </c>
      <c r="E38" s="27">
        <f t="shared" si="3"/>
        <v>0</v>
      </c>
      <c r="F38" s="27">
        <f t="shared" si="3"/>
        <v>0</v>
      </c>
      <c r="G38" s="27">
        <f t="shared" si="3"/>
        <v>0</v>
      </c>
      <c r="H38" s="27">
        <f t="shared" si="3"/>
        <v>0</v>
      </c>
      <c r="I38" s="27">
        <f t="shared" si="3"/>
        <v>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4" customHeight="1">
      <c r="A41" s="25"/>
      <c r="B41" s="183" t="s">
        <v>144</v>
      </c>
      <c r="C41" s="183"/>
      <c r="D41" s="183"/>
      <c r="E41" s="183"/>
      <c r="F41" s="183"/>
      <c r="G41" s="183"/>
      <c r="H41" s="183"/>
      <c r="I41" s="183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</row>
    <row r="42" spans="1:24" ht="39.75" customHeight="1">
      <c r="A42" s="25"/>
      <c r="B42" s="76" t="s">
        <v>208</v>
      </c>
      <c r="C42" s="76" t="s">
        <v>185</v>
      </c>
      <c r="D42" s="76" t="s">
        <v>209</v>
      </c>
      <c r="E42" s="76" t="s">
        <v>176</v>
      </c>
      <c r="F42" s="76" t="s">
        <v>210</v>
      </c>
      <c r="G42" s="76" t="s">
        <v>211</v>
      </c>
      <c r="H42" s="76" t="s">
        <v>191</v>
      </c>
      <c r="I42" s="76" t="s">
        <v>198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5" t="s">
        <v>199</v>
      </c>
      <c r="B43" s="27">
        <f>COUNTIFS(Hospitalización!$M$3:$M$500,"Hospitalización Pediatría",Hospitalización!$AL$3:$AL$500,"0 - 20 Min.")</f>
        <v>2</v>
      </c>
      <c r="C43" s="27">
        <f>COUNTIFS(Hospitalización!$M$3:$M$500,"Hospitalización Pediatría",Hospitalización!$AM$3:$AM$500,"0 - 20 Min.")</f>
        <v>3</v>
      </c>
      <c r="D43" s="27">
        <f>COUNTIFS(Hospitalización!$M$3:$M$500,"Hospitalización Pediatría",Hospitalización!$AN$3:$AN$500,"0 - 20 Min.")</f>
        <v>0</v>
      </c>
      <c r="E43" s="27">
        <f>COUNTIFS(Hospitalización!$M$3:$M$500,"Hospitalización Pediatría",Hospitalización!$AO$3:$AO$500,"0 - 20 Min.")</f>
        <v>0</v>
      </c>
      <c r="F43" s="27">
        <f>COUNTIFS(Hospitalización!$M$3:$M$500,"Hospitalización Pediatría",Hospitalización!$AP$3:$AP$500,"0 - 20 Min.")</f>
        <v>3</v>
      </c>
      <c r="G43" s="27">
        <f>COUNTIFS(Hospitalización!$M$3:$M$500,"Hospitalización Pediatría",Hospitalización!$AQ$3:$AQ$500,"0 - 20 Min.")</f>
        <v>0</v>
      </c>
      <c r="H43" s="27">
        <f>COUNTIFS(Hospitalización!$M$3:$M$500,"Hospitalización Pediatría",Hospitalización!$AR$3:$AR$500,"0 - 20 Min.")</f>
        <v>1</v>
      </c>
      <c r="I43" s="27">
        <f>COUNTIFS(Hospitalización!$M$3:$M$500,"Hospitalización Pediatría",Hospitalización!$AL$3:$AL$500,"0 - 20 Min.")</f>
        <v>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8" customHeight="1">
      <c r="A44" s="5" t="s">
        <v>200</v>
      </c>
      <c r="B44" s="27">
        <f>COUNTIFS(Hospitalización!$M$3:$M$500,"Hospitalización Pediatría",Hospitalización!$AL$3:$AL$500,"21 a 40 Min.")</f>
        <v>3</v>
      </c>
      <c r="C44" s="27">
        <f>COUNTIFS(Hospitalización!$M$3:$M$500,"Hospitalización Pediatría",Hospitalización!$AM$3:$AM$500,"21 a 40 Min.")</f>
        <v>2</v>
      </c>
      <c r="D44" s="27">
        <f>COUNTIFS(Hospitalización!$M$3:$M$500,"Hospitalización Pediatría",Hospitalización!$AN$3:$AN$500,"21 a 40 Min.")</f>
        <v>0</v>
      </c>
      <c r="E44" s="27">
        <f>COUNTIFS(Hospitalización!$M$3:$M$500,"Hospitalización Pediatría",Hospitalización!$AO$3:$AO$500,"21 a 40 Min.")</f>
        <v>0</v>
      </c>
      <c r="F44" s="27">
        <f>COUNTIFS(Hospitalización!$M$3:$M$500,"Hospitalización Pediatría",Hospitalización!$AP$3:$AP$500,"21 a 40 Min.")</f>
        <v>2</v>
      </c>
      <c r="G44" s="27">
        <f>COUNTIFS(Hospitalización!$M$3:$M$500,"Hospitalización Pediatría",Hospitalización!$AQ$3:$AQ$500,"21 a 40 Min.")</f>
        <v>0</v>
      </c>
      <c r="H44" s="27">
        <f>COUNTIFS(Hospitalización!$M$3:$M$500,"Hospitalización Pediatría",Hospitalización!$AR$3:$AR$500,"21 a 40 Min.")</f>
        <v>0</v>
      </c>
      <c r="I44" s="27">
        <f>COUNTIFS(Hospitalización!$M$3:$M$500,"Hospitalización Pediatría",Hospitalización!$AL$3:$AL$500,"21 a 40 Min.")</f>
        <v>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>
      <c r="A45" s="77" t="s">
        <v>201</v>
      </c>
      <c r="B45" s="27">
        <f>COUNTIFS(Hospitalización!$M$3:$M$500,"Hospitalización Pediatría",Hospitalización!$AL$3:$AL$500,"41 Min o Más")</f>
        <v>2</v>
      </c>
      <c r="C45" s="27">
        <f>COUNTIFS(Hospitalización!$M$3:$M$500,"Hospitalización Pediatría",Hospitalización!$AM$3:$AM$500,"41 Min o Más")</f>
        <v>2</v>
      </c>
      <c r="D45" s="27">
        <f>COUNTIFS(Hospitalización!$M$3:$M$500,"Hospitalización Pediatría",Hospitalización!$AN$3:$AN$500,"41 Min o Más")</f>
        <v>0</v>
      </c>
      <c r="E45" s="27">
        <f>COUNTIFS(Hospitalización!$M$3:$M$500,"Hospitalización Pediatría",Hospitalización!$AO$3:$AO$500,"41 Min o Más")</f>
        <v>0</v>
      </c>
      <c r="F45" s="27">
        <f>COUNTIFS(Hospitalización!$M$3:$M$500,"Hospitalización Pediatría",Hospitalización!$AP$3:$AP$500,"41 Min o Más")</f>
        <v>0</v>
      </c>
      <c r="G45" s="27">
        <f>COUNTIFS(Hospitalización!$M$3:$M$500,"Hospitalización Pediatría",Hospitalización!$AQ$3:$AQ$500,"41 Min o Más")</f>
        <v>1</v>
      </c>
      <c r="H45" s="27">
        <f>COUNTIFS(Hospitalización!$M$3:$M$500,"Hospitalización Pediatría",Hospitalización!$AR$3:$AR$500,"41 Min o Más")</f>
        <v>2</v>
      </c>
      <c r="I45" s="27">
        <f>COUNTIFS(Hospitalización!$M$3:$M$500,"Hospitalización Pediatría",Hospitalización!$AL$3:$AL$500,"41 Min o Más")</f>
        <v>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>
      <c r="A46" s="77" t="s">
        <v>204</v>
      </c>
      <c r="B46" s="27">
        <f>COUNTIFS(Hospitalización!$M$3:$M$500,"Hospitalización Pediatría",Hospitalización!$AL$3:$AL$500,"N/A")</f>
        <v>0</v>
      </c>
      <c r="C46" s="27">
        <f>COUNTIFS(Hospitalización!$M$3:$M$500,"Hospitalización Pediatría",Hospitalización!$AM$3:$AM$500,"N/A")</f>
        <v>0</v>
      </c>
      <c r="D46" s="27">
        <f>COUNTIFS(Hospitalización!$M$3:$M$500,"Hospitalización Pediatría",Hospitalización!$AN$3:$AN$500,"N/A")</f>
        <v>7</v>
      </c>
      <c r="E46" s="27">
        <f>COUNTIFS(Hospitalización!$M$3:$M$500,"Hospitalización Pediatría",Hospitalización!$AO$3:$AO$500,"N/A")</f>
        <v>7</v>
      </c>
      <c r="F46" s="27">
        <f>COUNTIFS(Hospitalización!$M$3:$M$500,"Hospitalización Pediatría",Hospitalización!$AP$3:$AP$500,"N/A")</f>
        <v>2</v>
      </c>
      <c r="G46" s="27">
        <f>COUNTIFS(Hospitalización!$M$3:$M$500,"Hospitalización Pediatría",Hospitalización!$AQ$3:$AQ$500,"N/A")</f>
        <v>6</v>
      </c>
      <c r="H46" s="27">
        <f>COUNTIFS(Hospitalización!$M$3:$M$500,"Hospitalización Pediatría",Hospitalización!$AR$3:$AR$500,"N/A")</f>
        <v>4</v>
      </c>
      <c r="I46" s="27">
        <f>COUNTIFS(Hospitalización!$M$3:$M$500,"Hospitalización Pediatría",Hospitalización!$AL$3:$AL$500,"N/A")</f>
        <v>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>
      <c r="A47" s="25"/>
      <c r="B47" s="27">
        <f>SUM(B43:B46)</f>
        <v>7</v>
      </c>
      <c r="C47" s="27">
        <f t="shared" ref="C47:I47" si="4">SUM(C43:C46)</f>
        <v>7</v>
      </c>
      <c r="D47" s="27">
        <f t="shared" si="4"/>
        <v>7</v>
      </c>
      <c r="E47" s="27">
        <f t="shared" si="4"/>
        <v>7</v>
      </c>
      <c r="F47" s="27">
        <f t="shared" si="4"/>
        <v>7</v>
      </c>
      <c r="G47" s="27">
        <f t="shared" si="4"/>
        <v>7</v>
      </c>
      <c r="H47" s="27">
        <f t="shared" si="4"/>
        <v>7</v>
      </c>
      <c r="I47" s="27">
        <f t="shared" si="4"/>
        <v>7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>
      <c r="A50" s="25"/>
      <c r="B50" s="189" t="s">
        <v>145</v>
      </c>
      <c r="C50" s="189"/>
      <c r="D50" s="189"/>
      <c r="E50" s="189"/>
      <c r="F50" s="189"/>
      <c r="G50" s="189"/>
      <c r="H50" s="189"/>
      <c r="I50" s="189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</row>
    <row r="51" spans="1:24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5" t="s">
        <v>199</v>
      </c>
      <c r="B52" s="27">
        <f>COUNTIFS(Hospitalización!$M$3:$M$500,"Hospitalización Quirurgicas",Hospitalización!$AL$3:$AL$500,"0 - 20 Min.")</f>
        <v>2</v>
      </c>
      <c r="C52" s="27">
        <f>COUNTIFS(Hospitalización!$M$3:$M$500,"Hospitalización Quirurgicas",Hospitalización!$AM$3:$AM$500,"0 - 20 Min.")</f>
        <v>5</v>
      </c>
      <c r="D52" s="27">
        <f>COUNTIFS(Hospitalización!$M$3:$M$500,"Hospitalización Quirurgicas",Hospitalización!$AN$3:$AN$500,"0 - 20 Min.")</f>
        <v>0</v>
      </c>
      <c r="E52" s="27">
        <f>COUNTIFS(Hospitalización!$M$3:$M$500,"Hospitalización Quirurgicas",Hospitalización!$AO$3:$AO$500,"0 - 20 Min.")</f>
        <v>0</v>
      </c>
      <c r="F52" s="27">
        <f>COUNTIFS(Hospitalización!$M$3:$M$500,"Hospitalización Quirurgicas",Hospitalización!$AP$3:$AP$500,"0 - 20 Min.")</f>
        <v>4</v>
      </c>
      <c r="G52" s="27">
        <f>COUNTIFS(Hospitalización!$M$3:$M$500,"Hospitalización Quirurgicas",Hospitalización!$AQ$3:$AQ$500,"0 - 20 Min.")</f>
        <v>4</v>
      </c>
      <c r="H52" s="27">
        <f>COUNTIFS(Hospitalización!$M$3:$M$500,"Hospitalización Quirurgicas",Hospitalización!$AR$3:$AR$500,"0 - 20 Min.")</f>
        <v>4</v>
      </c>
      <c r="I52" s="27">
        <f>COUNTIFS(Hospitalización!$M$3:$M$500,"Hospitalización Quirurgicas",Hospitalización!$AL$3:$AL$500,"0 - 20 Min.")</f>
        <v>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8" customHeight="1">
      <c r="A53" s="5" t="s">
        <v>200</v>
      </c>
      <c r="B53" s="27">
        <f>COUNTIFS(Hospitalización!$M$3:$M$500,"Hospitalización Quirurgicas",Hospitalización!$AL$3:$AL$500,"21 a 40 Min.")</f>
        <v>5</v>
      </c>
      <c r="C53" s="27">
        <f>COUNTIFS(Hospitalización!$M$3:$M$500,"Hospitalización Quirurgicas",Hospitalización!$AM$3:$AM$500,"21 a 40 Min.")</f>
        <v>2</v>
      </c>
      <c r="D53" s="27">
        <f>COUNTIFS(Hospitalización!$M$3:$M$500,"Hospitalización Quirurgicas",Hospitalización!$AN$3:$AN$500,"21 a 40 Min.")</f>
        <v>0</v>
      </c>
      <c r="E53" s="27">
        <f>COUNTIFS(Hospitalización!$M$3:$M$500,"Hospitalización Quirurgicas",Hospitalización!$AO$3:$AO$500,"21 a 40 Min.")</f>
        <v>0</v>
      </c>
      <c r="F53" s="27">
        <f>COUNTIFS(Hospitalización!$M$3:$M$500,"Hospitalización Quirurgicas",Hospitalización!$AP$3:$AP$500,"21 a 40 Min.")</f>
        <v>3</v>
      </c>
      <c r="G53" s="27">
        <f>COUNTIFS(Hospitalización!$M$3:$M$500,"Hospitalización Quirurgicas",Hospitalización!$AQ$3:$AQ$500,"21 a 40 Min.")</f>
        <v>2</v>
      </c>
      <c r="H53" s="27">
        <f>COUNTIFS(Hospitalización!$M$3:$M$500,"Hospitalización Quirurgicas",Hospitalización!$AR$3:$AR$500,"21 a 40 Min.")</f>
        <v>0</v>
      </c>
      <c r="I53" s="27">
        <f>COUNTIFS(Hospitalización!$M$3:$M$500,"Hospitalización Quirurgicas",Hospitalización!$AL$3:$AL$500,"21 a 40 Min.")</f>
        <v>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>
      <c r="A54" s="77" t="s">
        <v>201</v>
      </c>
      <c r="B54" s="27">
        <f>COUNTIFS(Hospitalización!$M$3:$M$500,"Hospitalización Quirurgicas",Hospitalización!$AL$3:$AL$500,"41 Min o Más")</f>
        <v>0</v>
      </c>
      <c r="C54" s="27">
        <f>COUNTIFS(Hospitalización!$M$3:$M$500,"Hospitalización Quirurgicas",Hospitalización!$AM$3:$AM$500,"41 Min o Más")</f>
        <v>0</v>
      </c>
      <c r="D54" s="27">
        <f>COUNTIFS(Hospitalización!$M$3:$M$500,"Hospitalización Quirurgicas",Hospitalización!$AN$3:$AN$500,"41 Min o Más")</f>
        <v>0</v>
      </c>
      <c r="E54" s="27">
        <f>COUNTIFS(Hospitalización!$M$3:$M$500,"Hospitalización Quirurgicas",Hospitalización!$AO$3:$AO$500,"41 Min o Más")</f>
        <v>0</v>
      </c>
      <c r="F54" s="27">
        <f>COUNTIFS(Hospitalización!$M$3:$M$500,"Hospitalización Quirurgicas",Hospitalización!$AP$3:$AP$500,"41 Min o Más")</f>
        <v>0</v>
      </c>
      <c r="G54" s="27">
        <f>COUNTIFS(Hospitalización!$M$3:$M$500,"Hospitalización Quirurgicas",Hospitalización!$AQ$3:$AQ$500,"41 Min o Más")</f>
        <v>0</v>
      </c>
      <c r="H54" s="27">
        <f>COUNTIFS(Hospitalización!$M$3:$M$500,"Hospitalización Quirurgicas",Hospitalización!$AR$3:$AR$500,"41 Min o Más")</f>
        <v>0</v>
      </c>
      <c r="I54" s="27">
        <f>COUNTIFS(Hospitalización!$M$3:$M$500,"Hospitalización Quirurgicas",Hospitalización!$AL$3:$AL$500,"41 Min o Más")</f>
        <v>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>
      <c r="A55" s="77" t="s">
        <v>204</v>
      </c>
      <c r="B55" s="27">
        <f>COUNTIFS(Hospitalización!$M$3:$M$500,"Hospitalización Quirurgicas",Hospitalización!$AL$3:$AL$500,"N/A")</f>
        <v>0</v>
      </c>
      <c r="C55" s="27">
        <f>COUNTIFS(Hospitalización!$M$3:$M$500,"Hospitalización Quirurgicas",Hospitalización!$AM$3:$AM$500,"N/A")</f>
        <v>0</v>
      </c>
      <c r="D55" s="27">
        <f>COUNTIFS(Hospitalización!$M$3:$M$500,"Hospitalización Quirurgicas",Hospitalización!$AN$3:$AN$500,"N/A")</f>
        <v>7</v>
      </c>
      <c r="E55" s="27">
        <f>COUNTIFS(Hospitalización!$M$3:$M$500,"Hospitalización Quirurgicas",Hospitalización!$AO$3:$AO$500,"N/A")</f>
        <v>7</v>
      </c>
      <c r="F55" s="27">
        <f>COUNTIFS(Hospitalización!$M$3:$M$500,"Hospitalización Quirurgicas",Hospitalización!$AP$3:$AP$500,"N/A")</f>
        <v>0</v>
      </c>
      <c r="G55" s="27">
        <f>COUNTIFS(Hospitalización!$M$3:$M$500,"Hospitalización Quirurgicas",Hospitalización!$AQ$3:$AQ$500,"N/A")</f>
        <v>1</v>
      </c>
      <c r="H55" s="27">
        <f>COUNTIFS(Hospitalización!$M$3:$M$500,"Hospitalización Quirurgicas",Hospitalización!$AR$3:$AR$500,"N/A")</f>
        <v>3</v>
      </c>
      <c r="I55" s="27">
        <f>COUNTIFS(Hospitalización!$M$3:$M$500,"Hospitalización Quirurgicas",Hospitalización!$AL$3:$AL$500,"N/A")</f>
        <v>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>
      <c r="A56" s="25"/>
      <c r="B56" s="27">
        <f>SUM(B52:B55)</f>
        <v>7</v>
      </c>
      <c r="C56" s="27">
        <f t="shared" ref="C56:I56" si="5">SUM(C52:C55)</f>
        <v>7</v>
      </c>
      <c r="D56" s="27">
        <f t="shared" si="5"/>
        <v>7</v>
      </c>
      <c r="E56" s="27">
        <f t="shared" si="5"/>
        <v>7</v>
      </c>
      <c r="F56" s="27">
        <f t="shared" si="5"/>
        <v>7</v>
      </c>
      <c r="G56" s="27">
        <f t="shared" si="5"/>
        <v>7</v>
      </c>
      <c r="H56" s="27">
        <f t="shared" si="5"/>
        <v>7</v>
      </c>
      <c r="I56" s="27">
        <f t="shared" si="5"/>
        <v>7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>
      <c r="A59" s="25"/>
      <c r="B59" s="190" t="s">
        <v>146</v>
      </c>
      <c r="C59" s="190"/>
      <c r="D59" s="190"/>
      <c r="E59" s="190"/>
      <c r="F59" s="190"/>
      <c r="G59" s="190"/>
      <c r="H59" s="190"/>
      <c r="I59" s="190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</row>
    <row r="60" spans="1:24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5" t="s">
        <v>199</v>
      </c>
      <c r="B61" s="27">
        <f>COUNTIFS(Hospitalización!$M$3:$M$500,"Unidades de Cuidados Intensivos",Hospitalización!$AL$3:$AL$500,"0 - 20 Min.")</f>
        <v>2</v>
      </c>
      <c r="C61" s="27">
        <f>COUNTIFS(Hospitalización!$M$3:$M$500,"Unidades de Cuidados Intensivos",Hospitalización!$AM$3:$AM$500,"0 - 20 Min.")</f>
        <v>4</v>
      </c>
      <c r="D61" s="27">
        <f>COUNTIFS(Hospitalización!$M$3:$M$500,"Unidades de Cuidados Intensivos",Hospitalización!$AN$3:$AN$500,"0 - 20 Min.")</f>
        <v>0</v>
      </c>
      <c r="E61" s="27">
        <f>COUNTIFS(Hospitalización!$M$3:$M$500,"Unidades de Cuidados Intensivos",Hospitalización!$AO$3:$AO$500,"0 - 20 Min.")</f>
        <v>0</v>
      </c>
      <c r="F61" s="27">
        <f>COUNTIFS(Hospitalización!$M$3:$M$500,"Unidades de Cuidados Intensivos",Hospitalización!$AP$3:$AP$500,"0 - 20 Min.")</f>
        <v>3</v>
      </c>
      <c r="G61" s="27">
        <f>COUNTIFS(Hospitalización!$M$3:$M$500,"Unidades de Cuidados Intensivos",Hospitalización!$AQ$3:$AQ$500,"0 - 20 Min.")</f>
        <v>2</v>
      </c>
      <c r="H61" s="27">
        <f>COUNTIFS(Hospitalización!$M$3:$M$500,"Unidades de Cuidados Intensivos",Hospitalización!$AR$3:$AR$500,"0 - 20 Min.")</f>
        <v>3</v>
      </c>
      <c r="I61" s="27">
        <f>COUNTIFS(Hospitalización!$M$3:$M$500,"Unidades de Cuidados Intensivos",Hospitalización!$AL$3:$AL$500,"0 - 20 Min.")</f>
        <v>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8" customHeight="1">
      <c r="A62" s="5" t="s">
        <v>200</v>
      </c>
      <c r="B62" s="27">
        <f>COUNTIFS(Hospitalización!$M$3:$M$500,"Unidades de Cuidados Intensivos",Hospitalización!$AL$3:$AL$500,"21 a 40 Min.")</f>
        <v>5</v>
      </c>
      <c r="C62" s="27">
        <f>COUNTIFS(Hospitalización!$M$3:$M$500,"Unidades de Cuidados Intensivos",Hospitalización!$AM$3:$AM$500,"21 a 40 Min.")</f>
        <v>3</v>
      </c>
      <c r="D62" s="27">
        <f>COUNTIFS(Hospitalización!$M$3:$M$500,"Unidades de Cuidados Intensivos",Hospitalización!$AN$3:$AN$500,"21 a 40 Min.")</f>
        <v>1</v>
      </c>
      <c r="E62" s="27">
        <f>COUNTIFS(Hospitalización!$M$3:$M$500,"Unidades de Cuidados Intensivos",Hospitalización!$AO$3:$AO$500,"21 a 40 Min.")</f>
        <v>0</v>
      </c>
      <c r="F62" s="27">
        <f>COUNTIFS(Hospitalización!$M$3:$M$500,"Unidades de Cuidados Intensivos",Hospitalización!$AP$3:$AP$500,"21 a 40 Min.")</f>
        <v>4</v>
      </c>
      <c r="G62" s="27">
        <f>COUNTIFS(Hospitalización!$M$3:$M$500,"Unidades de Cuidados Intensivos",Hospitalización!$AQ$3:$AQ$500,"21 a 40 Min.")</f>
        <v>4</v>
      </c>
      <c r="H62" s="27">
        <f>COUNTIFS(Hospitalización!$M$3:$M$500,"Unidades de Cuidados Intensivos",Hospitalización!$AR$3:$AR$500,"21 a 40 Min.")</f>
        <v>3</v>
      </c>
      <c r="I62" s="27">
        <f>COUNTIFS(Hospitalización!$M$3:$M$500,"Unidades de Cuidados Intensivos",Hospitalización!$AL$3:$AL$500,"21 a 40 Min.")</f>
        <v>5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>
      <c r="A63" s="77" t="s">
        <v>201</v>
      </c>
      <c r="B63" s="27">
        <f>COUNTIFS(Hospitalización!$M$3:$M$500,"Unidades de Cuidados Intensivos",Hospitalización!$AL$3:$AL$500,"41 Min o Más")</f>
        <v>0</v>
      </c>
      <c r="C63" s="27">
        <f>COUNTIFS(Hospitalización!$M$3:$M$500,"Unidades de Cuidados Intensivos",Hospitalización!$AM$3:$AM$500,"41 Min o Más")</f>
        <v>0</v>
      </c>
      <c r="D63" s="27">
        <f>COUNTIFS(Hospitalización!$M$3:$M$500,"Unidades de Cuidados Intensivos",Hospitalización!$AN$3:$AN$500,"41 Min o Más")</f>
        <v>0</v>
      </c>
      <c r="E63" s="27">
        <f>COUNTIFS(Hospitalización!$M$3:$M$500,"Unidades de Cuidados Intensivos",Hospitalización!$AO$3:$AO$500,"41 Min o Más")</f>
        <v>0</v>
      </c>
      <c r="F63" s="27">
        <f>COUNTIFS(Hospitalización!$M$3:$M$500,"Unidades de Cuidados Intensivos",Hospitalización!$AP$3:$AP$500,"41 Min o Más")</f>
        <v>0</v>
      </c>
      <c r="G63" s="27">
        <f>COUNTIFS(Hospitalización!$M$3:$M$500,"Unidades de Cuidados Intensivos",Hospitalización!$AQ$3:$AQ$500,"41 Min o Más")</f>
        <v>0</v>
      </c>
      <c r="H63" s="27">
        <f>COUNTIFS(Hospitalización!$M$3:$M$500,"Unidades de Cuidados Intensivos",Hospitalización!$AR$3:$AR$500,"41 Min o Más")</f>
        <v>0</v>
      </c>
      <c r="I63" s="27">
        <f>COUNTIFS(Hospitalización!$M$3:$M$500,"Unidades de Cuidados Intensivos",Hospitalización!$AL$3:$AL$500,"41 Min o Más")</f>
        <v>0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>
      <c r="A64" s="77" t="s">
        <v>204</v>
      </c>
      <c r="B64" s="27">
        <f>COUNTIFS(Hospitalización!$M$3:$M$500,"Unidades de Cuidados Intensivos",Hospitalización!$AL$3:$AL$500,"N/A")</f>
        <v>0</v>
      </c>
      <c r="C64" s="27">
        <f>COUNTIFS(Hospitalización!$M$3:$M$500,"Unidades de Cuidados Intensivos",Hospitalización!$AM$3:$AM$500,"N/A")</f>
        <v>0</v>
      </c>
      <c r="D64" s="27">
        <f>COUNTIFS(Hospitalización!$M$3:$M$500,"Unidades de Cuidados Intensivos",Hospitalización!$AN$3:$AN$500,"N/A")</f>
        <v>6</v>
      </c>
      <c r="E64" s="27">
        <f>COUNTIFS(Hospitalización!$M$3:$M$500,"Unidades de Cuidados Intensivos",Hospitalización!$AO$3:$AO$500,"N/A")</f>
        <v>7</v>
      </c>
      <c r="F64" s="27">
        <f>COUNTIFS(Hospitalización!$M$3:$M$500,"Unidades de Cuidados Intensivos",Hospitalización!$AP$3:$AP$500,"N/A")</f>
        <v>0</v>
      </c>
      <c r="G64" s="27">
        <f>COUNTIFS(Hospitalización!$M$3:$M$500,"Unidades de Cuidados Intensivos",Hospitalización!$AQ$3:$AQ$500,"N/A")</f>
        <v>1</v>
      </c>
      <c r="H64" s="27">
        <f>COUNTIFS(Hospitalización!$M$3:$M$500,"Unidades de Cuidados Intensivos",Hospitalización!$AR$3:$AR$500,"N/A")</f>
        <v>1</v>
      </c>
      <c r="I64" s="27">
        <f>COUNTIFS(Hospitalización!$M$3:$M$500,"Unidades de Cuidados Intensivos",Hospitalización!$AL$3:$AL$500,"N/A")</f>
        <v>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>
      <c r="A65" s="25"/>
      <c r="B65" s="25">
        <f>SUM(B61:B64)</f>
        <v>7</v>
      </c>
      <c r="C65" s="25">
        <f t="shared" ref="C65:I65" si="6">SUM(C61:C64)</f>
        <v>7</v>
      </c>
      <c r="D65" s="25">
        <f t="shared" si="6"/>
        <v>7</v>
      </c>
      <c r="E65" s="25">
        <f t="shared" si="6"/>
        <v>7</v>
      </c>
      <c r="F65" s="25">
        <f t="shared" si="6"/>
        <v>7</v>
      </c>
      <c r="G65" s="25">
        <f t="shared" si="6"/>
        <v>7</v>
      </c>
      <c r="H65" s="25">
        <f t="shared" si="6"/>
        <v>7</v>
      </c>
      <c r="I65" s="25">
        <f t="shared" si="6"/>
        <v>7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" customHeight="1">
      <c r="A68" s="25"/>
      <c r="B68" s="191" t="s">
        <v>213</v>
      </c>
      <c r="C68" s="191"/>
      <c r="D68" s="191"/>
      <c r="E68" s="191"/>
      <c r="F68" s="191"/>
      <c r="G68" s="191"/>
      <c r="H68" s="191"/>
      <c r="I68" s="191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</row>
    <row r="69" spans="1:24" ht="39.75" customHeight="1">
      <c r="A69" s="25"/>
      <c r="B69" s="76" t="s">
        <v>185</v>
      </c>
      <c r="C69" s="76" t="s">
        <v>186</v>
      </c>
      <c r="D69" s="76" t="s">
        <v>187</v>
      </c>
      <c r="E69" s="76" t="s">
        <v>214</v>
      </c>
      <c r="F69" s="76" t="s">
        <v>189</v>
      </c>
      <c r="G69" s="76" t="s">
        <v>190</v>
      </c>
      <c r="H69" s="76" t="s">
        <v>191</v>
      </c>
      <c r="I69" s="76" t="s">
        <v>192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5" t="s">
        <v>199</v>
      </c>
      <c r="B70" s="27">
        <f>COUNTIFS(Hospitalización!$M$3:$M$500,"Cirugía",Hospitalización!$AL$3:$AL$500,"0 - 20 Min.")</f>
        <v>4</v>
      </c>
      <c r="C70" s="27">
        <f>COUNTIFS(Hospitalización!$M$3:$M$500,"Cirugía",Hospitalización!$AM$3:$AM$500,"0 - 20 Min.")</f>
        <v>4</v>
      </c>
      <c r="D70" s="27">
        <f>COUNTIFS(Hospitalización!$M$3:$M$500,"Cirugía",Hospitalización!$AN$3:$AN$500,"0 - 20 Min.")</f>
        <v>0</v>
      </c>
      <c r="E70" s="27">
        <f>COUNTIFS(Hospitalización!$M$3:$M$500,"Cirugía",Hospitalización!$AO$3:$AO$500,"0 - 20 Min.")</f>
        <v>0</v>
      </c>
      <c r="F70" s="27">
        <f>COUNTIFS(Hospitalización!$M$3:$M$500,"Cirugía",Hospitalización!$AP$3:$AP$500,"0 - 20 Min.")</f>
        <v>1</v>
      </c>
      <c r="G70" s="27">
        <f>COUNTIFS(Hospitalización!$M$3:$M$500,"Cirugía",Hospitalización!$AQ$3:$AQ$500,"0 - 20 Min.")</f>
        <v>1</v>
      </c>
      <c r="H70" s="27">
        <f>COUNTIFS(Hospitalización!$M$3:$M$500,"Cirugía",Hospitalización!$AR$3:$AR$500,"0 - 20 Min.")</f>
        <v>0</v>
      </c>
      <c r="I70" s="27">
        <f>COUNTIFS(Hospitalización!$M$3:$M$500,"Cirugía",Hospitalización!$AL$3:$AL$500,"0 - 20 Min.")</f>
        <v>4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8" customHeight="1">
      <c r="A71" s="5" t="s">
        <v>200</v>
      </c>
      <c r="B71" s="27">
        <f>COUNTIFS(Hospitalización!$M$3:$M$500,"Cirugía",Hospitalización!$AL$3:$AL$500,"21 a 40 Min.")</f>
        <v>3</v>
      </c>
      <c r="C71" s="27">
        <f>COUNTIFS(Hospitalización!$M$3:$M$500,"Cirugía",Hospitalización!$AM$3:$AM$500,"21 a 40 Min.")</f>
        <v>3</v>
      </c>
      <c r="D71" s="27">
        <f>COUNTIFS(Hospitalización!$M$3:$M$500,"Cirugía",Hospitalización!$AN$3:$AN$500,"21 a 40 Min.")</f>
        <v>0</v>
      </c>
      <c r="E71" s="27">
        <f>COUNTIFS(Hospitalización!$M$3:$M$500,"Cirugía",Hospitalización!$AO$3:$AO$500,"21 a 40 Min.")</f>
        <v>0</v>
      </c>
      <c r="F71" s="27">
        <f>COUNTIFS(Hospitalización!$M$3:$M$500,"Cirugía",Hospitalización!$AP$3:$AP$500,"21 a 40 Min.")</f>
        <v>1</v>
      </c>
      <c r="G71" s="27">
        <f>COUNTIFS(Hospitalización!$M$3:$M$500,"Cirugía",Hospitalización!$AQ$3:$AQ$500,"21 a 40 Min.")</f>
        <v>4</v>
      </c>
      <c r="H71" s="27">
        <f>COUNTIFS(Hospitalización!$M$3:$M$500,"Cirugía",Hospitalización!$AR$3:$AR$500,"21 a 40 Min.")</f>
        <v>1</v>
      </c>
      <c r="I71" s="27">
        <f>COUNTIFS(Hospitalización!$M$3:$M$500,"Cirugía",Hospitalización!$AL$3:$AL$500,"21 a 40 Min.")</f>
        <v>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>
      <c r="A72" s="77" t="s">
        <v>201</v>
      </c>
      <c r="B72" s="27">
        <f>COUNTIFS(Hospitalización!$M$3:$M$500,"Cirugía",Hospitalización!$AL$3:$AL$500,"41 Min o Más")</f>
        <v>0</v>
      </c>
      <c r="C72" s="27">
        <f>COUNTIFS(Hospitalización!$M$3:$M$500,"Cirugía",Hospitalización!$AM$3:$AM$500,"41 Min o Más")</f>
        <v>0</v>
      </c>
      <c r="D72" s="27">
        <f>COUNTIFS(Hospitalización!$M$3:$M$500,"Cirugía",Hospitalización!$AN$3:$AN$500,"41 Min o Más")</f>
        <v>0</v>
      </c>
      <c r="E72" s="27">
        <f>COUNTIFS(Hospitalización!$M$3:$M$500,"Cirugía",Hospitalización!$AO$3:$AO$500,"41 Min o Más")</f>
        <v>0</v>
      </c>
      <c r="F72" s="27">
        <f>COUNTIFS(Hospitalización!$M$3:$M$500,"Cirugía",Hospitalización!$AP$3:$AP$500,"41 Min o Más")</f>
        <v>0</v>
      </c>
      <c r="G72" s="27">
        <f>COUNTIFS(Hospitalización!$M$3:$M$500,"Cirugía",Hospitalización!$AQ$3:$AQ$500,"41 Min o Más")</f>
        <v>0</v>
      </c>
      <c r="H72" s="27">
        <f>COUNTIFS(Hospitalización!$M$3:$M$500,"Cirugía",Hospitalización!$AR$3:$AR$500,"41 Min o Más")</f>
        <v>0</v>
      </c>
      <c r="I72" s="27">
        <f>COUNTIFS(Hospitalización!$M$3:$M$500,"Cirugía",Hospitalización!$AL$3:$AL$500,"41 Min o Más")</f>
        <v>0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>
      <c r="A73" s="77" t="s">
        <v>204</v>
      </c>
      <c r="B73" s="27">
        <f>COUNTIFS(Hospitalización!$M$3:$M$500,"Cirugía",Hospitalización!$AL$3:$AL$500,"N/A")</f>
        <v>0</v>
      </c>
      <c r="C73" s="27">
        <f>COUNTIFS(Hospitalización!$M$3:$M$500,"Cirugía",Hospitalización!$AM$3:$AM$500,"N/A")</f>
        <v>0</v>
      </c>
      <c r="D73" s="27">
        <f>COUNTIFS(Hospitalización!$M$3:$M$500,"Cirugía",Hospitalización!$AN$3:$AN$500,"N/A")</f>
        <v>7</v>
      </c>
      <c r="E73" s="27">
        <f>COUNTIFS(Hospitalización!$M$3:$M$500,"Cirugía",Hospitalización!$AO$3:$AO$500,"N/A")</f>
        <v>7</v>
      </c>
      <c r="F73" s="27">
        <f>COUNTIFS(Hospitalización!$M$3:$M$500,"Cirugía",Hospitalización!$AP$3:$AP$500,"N/A")</f>
        <v>5</v>
      </c>
      <c r="G73" s="27">
        <f>COUNTIFS(Hospitalización!$M$3:$M$500,"Cirugía",Hospitalización!$AQ$3:$AQ$500,"N/A")</f>
        <v>2</v>
      </c>
      <c r="H73" s="27">
        <f>COUNTIFS(Hospitalización!$M$3:$M$500,"Cirugía",Hospitalización!$AR$3:$AR$500,"N/A")</f>
        <v>6</v>
      </c>
      <c r="I73" s="27">
        <f>COUNTIFS(Hospitalización!$M$3:$M$500,"Cirugía",Hospitalización!$AL$3:$AL$500,"N/A")</f>
        <v>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>
      <c r="A74" s="25"/>
      <c r="B74" s="25">
        <f>SUM(B70:B73)</f>
        <v>7</v>
      </c>
      <c r="C74" s="25">
        <f t="shared" ref="C74:I74" si="7">SUM(C70:C73)</f>
        <v>7</v>
      </c>
      <c r="D74" s="25">
        <f t="shared" si="7"/>
        <v>7</v>
      </c>
      <c r="E74" s="25">
        <f t="shared" si="7"/>
        <v>7</v>
      </c>
      <c r="F74" s="25">
        <f t="shared" si="7"/>
        <v>7</v>
      </c>
      <c r="G74" s="25">
        <f t="shared" si="7"/>
        <v>7</v>
      </c>
      <c r="H74" s="25">
        <f t="shared" si="7"/>
        <v>7</v>
      </c>
      <c r="I74" s="25">
        <f t="shared" si="7"/>
        <v>7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</sheetData>
  <mergeCells count="16">
    <mergeCell ref="B59:I59"/>
    <mergeCell ref="J59:X59"/>
    <mergeCell ref="B68:I68"/>
    <mergeCell ref="J68:X68"/>
    <mergeCell ref="B32:I32"/>
    <mergeCell ref="J32:X32"/>
    <mergeCell ref="B41:I41"/>
    <mergeCell ref="J41:X41"/>
    <mergeCell ref="B50:I50"/>
    <mergeCell ref="J50:X50"/>
    <mergeCell ref="B4:I4"/>
    <mergeCell ref="L4:S4"/>
    <mergeCell ref="B13:I13"/>
    <mergeCell ref="J13:X13"/>
    <mergeCell ref="B23:I23"/>
    <mergeCell ref="J23:X2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R44"/>
  <sheetViews>
    <sheetView workbookViewId="0">
      <selection activeCell="D5" sqref="D5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5.6640625" customWidth="1"/>
    <col min="6" max="6" width="18.6640625" customWidth="1"/>
    <col min="7" max="8" width="13.88671875" customWidth="1"/>
    <col min="11" max="11" width="3.109375" customWidth="1"/>
    <col min="12" max="12" width="8.6640625" customWidth="1"/>
    <col min="13" max="13" width="13.88671875" customWidth="1"/>
    <col min="14" max="14" width="13.6640625" customWidth="1"/>
    <col min="15" max="15" width="14.33203125" customWidth="1"/>
    <col min="16" max="16" width="13.6640625" customWidth="1"/>
    <col min="17" max="17" width="13.33203125" customWidth="1"/>
  </cols>
  <sheetData>
    <row r="1" spans="1:18">
      <c r="A1" s="41" t="s">
        <v>215</v>
      </c>
    </row>
    <row r="3" spans="1:18" ht="26.4" customHeight="1">
      <c r="B3" s="118" t="s">
        <v>1</v>
      </c>
      <c r="C3" s="119"/>
      <c r="D3" s="119"/>
      <c r="E3" s="119"/>
      <c r="F3" s="119"/>
      <c r="G3" s="120"/>
    </row>
    <row r="4" spans="1:18" ht="39.6">
      <c r="A4" s="42"/>
      <c r="B4" s="5" t="s">
        <v>131</v>
      </c>
      <c r="C4" s="5" t="s">
        <v>139</v>
      </c>
      <c r="D4" s="73" t="s">
        <v>140</v>
      </c>
      <c r="E4" s="73" t="s">
        <v>129</v>
      </c>
      <c r="F4" s="5" t="s">
        <v>136</v>
      </c>
      <c r="G4" s="73" t="s">
        <v>137</v>
      </c>
      <c r="H4" s="3" t="s">
        <v>8</v>
      </c>
      <c r="I4" s="22"/>
      <c r="J4" s="22"/>
    </row>
    <row r="5" spans="1:18">
      <c r="A5" s="17" t="s">
        <v>216</v>
      </c>
      <c r="B5" s="6">
        <f>COUNTIFS(Ambulatorio!$M$73:$M$483,"Citas Médicas- Facturación",Ambulatorio!$BQ$73:$BQ$483,"SI")</f>
        <v>0</v>
      </c>
      <c r="C5" s="6">
        <f>COUNTIFS(Ambulatorio!$M$73:$M$483,"Ayudas Diagnósticas Laboratorio y Patología",Ambulatorio!$BQ$73:$BQ$483,"SI")</f>
        <v>20</v>
      </c>
      <c r="D5" s="6">
        <f>COUNTIFS(Ambulatorio!$M$73:$M$483,"Ayudas Diagnósticas RX - TAC",Ambulatorio!$BQ$73:$BQ$483,"SI")</f>
        <v>20</v>
      </c>
      <c r="E5" s="6">
        <f>COUNTIFS(Ambulatorio!$M$73:$M$483,"Terapias",Ambulatorio!$BQ$73:$BQ$483,"SI")</f>
        <v>0</v>
      </c>
      <c r="F5" s="6">
        <f>COUNTIFS(Ambulatorio!$M$73:$M$483,"Ayudas Diagnósticas Servicios Complementarios",Ambulatorio!$BQ$73:$BQ$483,"SI")</f>
        <v>30</v>
      </c>
      <c r="G5" s="6">
        <f>COUNTIFS(Ambulatorio!$M$73:$M$483,"Urgencias",Ambulatorio!$BQ$73:$BQ$483,"SI")</f>
        <v>97</v>
      </c>
      <c r="H5" s="11">
        <f>SUM(B5:G5)</f>
        <v>167</v>
      </c>
      <c r="I5" s="11"/>
      <c r="J5" s="11"/>
    </row>
    <row r="6" spans="1:18">
      <c r="A6" s="17" t="s">
        <v>217</v>
      </c>
      <c r="B6" s="6">
        <f>COUNTIFS(Ambulatorio!$M$73:$M$483,"Citas Médicas- Facturación",Ambulatorio!$BQ$73:$BQ$483,"No")</f>
        <v>0</v>
      </c>
      <c r="C6" s="6">
        <f>COUNTIFS(Ambulatorio!$M$73:$M$483,"Ayudas Diagnósticas Laboratorio y Patología",Ambulatorio!$BQ$73:$BQ$483,"No")</f>
        <v>0</v>
      </c>
      <c r="D6" s="6">
        <f>COUNTIFS(Ambulatorio!$M$73:$M$483,"Ayudas Diagnósticas RX - TAC",Ambulatorio!$BQ$73:$BQ$483,"No")</f>
        <v>0</v>
      </c>
      <c r="E6" s="6">
        <f>COUNTIFS(Ambulatorio!$M$73:$M$483,"Terapias",Ambulatorio!$BQ$73:$BQ$483,"No")</f>
        <v>0</v>
      </c>
      <c r="F6" s="6">
        <f>COUNTIFS(Ambulatorio!$M$73:$M$483,"Ayudas Diagnósticas Servicios Complementarios",Ambulatorio!$BQ$73:$BQ$483,"No")</f>
        <v>0</v>
      </c>
      <c r="G6" s="6">
        <f>COUNTIFS(Ambulatorio!$M$73:$M$483,"Urgencias",Ambulatorio!$BQ$73:$BQ$483,"no")</f>
        <v>0</v>
      </c>
      <c r="H6" s="11">
        <f>SUM(B6:G6)</f>
        <v>0</v>
      </c>
      <c r="I6" s="11"/>
      <c r="J6" s="11"/>
    </row>
    <row r="7" spans="1:18">
      <c r="A7" s="17" t="s">
        <v>218</v>
      </c>
      <c r="B7" s="6">
        <f>COUNTIFS(Ambulatorio!$M$73:$M$483,"Citas Médicas- Facturación",Ambulatorio!$BQ$73:$BQ$483,"No Recuerda")</f>
        <v>0</v>
      </c>
      <c r="C7" s="6">
        <f>COUNTIFS(Ambulatorio!$M$73:$M$483,"Ayudas Diagnósticas Laboratorio y Patología",Ambulatorio!$BQ$73:$BQ$483,"No Recuerda")</f>
        <v>0</v>
      </c>
      <c r="D7" s="6">
        <f>COUNTIFS(Ambulatorio!$M$73:$M$483,"Ayudas Diagnósticas RX - TAC",Ambulatorio!$BQ$73:$BQ$483,"No Recuerda")</f>
        <v>0</v>
      </c>
      <c r="E7" s="6">
        <f>COUNTIFS(Ambulatorio!$M$73:$M$483,"Terapias",Ambulatorio!$BQ$73:$BQ$483,"No Recuerda")</f>
        <v>0</v>
      </c>
      <c r="F7" s="6">
        <f>COUNTIFS(Ambulatorio!$M$73:$M$483,"Ayudas Diagnósticas Servicios Complementarios",Ambulatorio!$BQ$73:$BQ$483,"No Recuerda")</f>
        <v>0</v>
      </c>
      <c r="G7" s="6">
        <f>COUNTIFS(Ambulatorio!$M$73:$M$483,"Urgencias",Ambulatorio!$BQ$73:$BQ$483,"No Recuerda")</f>
        <v>0</v>
      </c>
      <c r="H7" s="11">
        <f>SUM(B7:G7)</f>
        <v>0</v>
      </c>
      <c r="I7" s="11"/>
      <c r="J7" s="11"/>
    </row>
    <row r="8" spans="1:18">
      <c r="A8" s="43"/>
      <c r="B8" s="6">
        <f>SUM(B5:B7)</f>
        <v>0</v>
      </c>
      <c r="C8" s="6">
        <f t="shared" ref="C8:H8" si="0">SUM(C5:C7)</f>
        <v>20</v>
      </c>
      <c r="D8" s="6">
        <f t="shared" si="0"/>
        <v>20</v>
      </c>
      <c r="E8" s="6">
        <f t="shared" si="0"/>
        <v>0</v>
      </c>
      <c r="F8" s="6">
        <f t="shared" si="0"/>
        <v>30</v>
      </c>
      <c r="G8" s="6">
        <f t="shared" si="0"/>
        <v>97</v>
      </c>
      <c r="H8" s="11">
        <f t="shared" si="0"/>
        <v>167</v>
      </c>
      <c r="I8" s="11"/>
      <c r="J8" s="11"/>
    </row>
    <row r="12" spans="1:18" ht="21.15" customHeight="1">
      <c r="B12" s="118" t="s">
        <v>1</v>
      </c>
      <c r="C12" s="119"/>
      <c r="D12" s="119"/>
      <c r="E12" s="119"/>
      <c r="F12" s="119"/>
      <c r="G12" s="120"/>
    </row>
    <row r="13" spans="1:18" ht="27" customHeight="1">
      <c r="A13" s="42"/>
      <c r="B13" s="3" t="s">
        <v>2</v>
      </c>
      <c r="C13" s="3" t="s">
        <v>3</v>
      </c>
      <c r="D13" s="4" t="s">
        <v>4</v>
      </c>
      <c r="E13" s="3" t="s">
        <v>5</v>
      </c>
      <c r="F13" s="3" t="s">
        <v>6</v>
      </c>
      <c r="G13" s="74" t="s">
        <v>137</v>
      </c>
    </row>
    <row r="14" spans="1:18">
      <c r="A14" s="17" t="s">
        <v>216</v>
      </c>
      <c r="B14" s="18" t="e">
        <f>+B5/$B$8</f>
        <v>#DIV/0!</v>
      </c>
      <c r="C14" s="18">
        <f>+C5/$C$8</f>
        <v>1</v>
      </c>
      <c r="D14" s="18">
        <f>+D5/$D$8</f>
        <v>1</v>
      </c>
      <c r="E14" s="18" t="e">
        <f>+E5/$E$8</f>
        <v>#DIV/0!</v>
      </c>
      <c r="F14" s="18">
        <f>+F5/$F$8</f>
        <v>1</v>
      </c>
      <c r="G14" s="18">
        <f>+G5/$G$8</f>
        <v>1</v>
      </c>
      <c r="L14" s="41"/>
      <c r="M14" s="22"/>
      <c r="N14" s="22"/>
      <c r="O14" s="22"/>
      <c r="P14" s="22"/>
      <c r="Q14" s="22"/>
    </row>
    <row r="15" spans="1:18">
      <c r="A15" s="17" t="s">
        <v>217</v>
      </c>
      <c r="B15" s="18" t="e">
        <f t="shared" ref="B15:B16" si="1">+B6/$B$8</f>
        <v>#DIV/0!</v>
      </c>
      <c r="C15" s="18">
        <f t="shared" ref="C15:C16" si="2">+C6/$C$8</f>
        <v>0</v>
      </c>
      <c r="D15" s="18">
        <f t="shared" ref="D15:D16" si="3">+D6/$D$8</f>
        <v>0</v>
      </c>
      <c r="E15" s="18" t="e">
        <f t="shared" ref="E15:E16" si="4">+E6/$E$8</f>
        <v>#DIV/0!</v>
      </c>
      <c r="F15" s="18">
        <f t="shared" ref="F15:F16" si="5">+F6/$F$8</f>
        <v>0</v>
      </c>
      <c r="G15" s="18">
        <f t="shared" ref="G15:G16" si="6">+G6/$G$8</f>
        <v>0</v>
      </c>
      <c r="L15" s="43"/>
      <c r="M15" s="19"/>
      <c r="N15" s="19"/>
      <c r="O15" s="19"/>
      <c r="P15" s="19"/>
      <c r="Q15" s="19"/>
      <c r="R15" s="19"/>
    </row>
    <row r="16" spans="1:18">
      <c r="A16" s="17" t="s">
        <v>218</v>
      </c>
      <c r="B16" s="18" t="e">
        <f t="shared" si="1"/>
        <v>#DIV/0!</v>
      </c>
      <c r="C16" s="18">
        <f t="shared" si="2"/>
        <v>0</v>
      </c>
      <c r="D16" s="18">
        <f t="shared" si="3"/>
        <v>0</v>
      </c>
      <c r="E16" s="18" t="e">
        <f t="shared" si="4"/>
        <v>#DIV/0!</v>
      </c>
      <c r="F16" s="18">
        <f t="shared" si="5"/>
        <v>0</v>
      </c>
      <c r="G16" s="18">
        <f t="shared" si="6"/>
        <v>0</v>
      </c>
      <c r="L16" s="43"/>
      <c r="M16" s="19"/>
      <c r="N16" s="19"/>
      <c r="O16" s="19"/>
      <c r="P16" s="19"/>
      <c r="Q16" s="19"/>
      <c r="R16" s="19"/>
    </row>
    <row r="17" spans="1:18">
      <c r="A17" s="43"/>
      <c r="B17" s="18" t="e">
        <f>SUM(B14:B16)</f>
        <v>#DIV/0!</v>
      </c>
      <c r="C17" s="18">
        <f>SUM(C14:C15)</f>
        <v>1</v>
      </c>
      <c r="D17" s="18">
        <f>SUM(D14:D15)</f>
        <v>1</v>
      </c>
      <c r="E17" s="18" t="e">
        <f>SUM(E14:E15)</f>
        <v>#DIV/0!</v>
      </c>
      <c r="F17" s="18">
        <f>SUM(F14:F15)</f>
        <v>1</v>
      </c>
      <c r="G17" s="18" t="e">
        <f>AVERAGE(B17:F17)</f>
        <v>#DIV/0!</v>
      </c>
      <c r="H17" s="75">
        <f>+H5/H8</f>
        <v>1</v>
      </c>
      <c r="L17" s="43"/>
      <c r="M17" s="19"/>
      <c r="N17" s="19"/>
      <c r="O17" s="19"/>
      <c r="P17" s="19"/>
      <c r="Q17" s="19"/>
      <c r="R17" s="19"/>
    </row>
    <row r="18" spans="1:18">
      <c r="A18" s="41"/>
      <c r="L18" s="43"/>
      <c r="M18" s="19"/>
      <c r="N18" s="19"/>
      <c r="O18" s="19"/>
      <c r="P18" s="19"/>
      <c r="Q18" s="19"/>
      <c r="R18" s="19"/>
    </row>
    <row r="28" spans="1:18">
      <c r="B28" s="224" t="s">
        <v>15</v>
      </c>
      <c r="C28" s="224"/>
      <c r="D28" s="224"/>
      <c r="E28" s="224"/>
      <c r="F28" s="224"/>
      <c r="G28" s="224"/>
      <c r="H28" s="224"/>
    </row>
    <row r="29" spans="1:18" ht="36">
      <c r="A29" s="33"/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8</v>
      </c>
    </row>
    <row r="30" spans="1:18">
      <c r="A30" s="17" t="s">
        <v>216</v>
      </c>
      <c r="B30" s="6">
        <f>COUNTIFS(Hospitalización!$M$3:$M$500,"Hospitalización General",Hospitalización!$AX$3:$AX$500,"SI")</f>
        <v>7</v>
      </c>
      <c r="C30" s="6">
        <f>COUNTIFS(Hospitalización!$M$3:$M$500,"Hospitalización Ginecología",Hospitalización!$AX$3:$AX$500,"SI")</f>
        <v>6</v>
      </c>
      <c r="D30" s="6">
        <f>COUNTIFS(Hospitalización!$M$3:$M$500,"Hospitalización Medicina Interna",Hospitalización!$AX$3:$AX$500,"SI")</f>
        <v>7</v>
      </c>
      <c r="E30" s="6">
        <f>COUNTIFS(Hospitalización!$M$3:$M$500,"Hospitalización Pediatría",Hospitalización!$AX$3:$AX$500,"SI")</f>
        <v>7</v>
      </c>
      <c r="F30" s="6">
        <f>COUNTIFS(Hospitalización!$M$3:$M$500,"Hospitalización Quirurgicas",Hospitalización!$AX$3:$AX$500,"SI")</f>
        <v>7</v>
      </c>
      <c r="G30" s="6">
        <f>COUNTIFS(Hospitalización!$M$3:$M$500,"Unidades de cuidados intensivos",Hospitalización!$AX$3:$AX$500,"SI")</f>
        <v>7</v>
      </c>
      <c r="H30" s="6">
        <f>COUNTIFS(Hospitalización!$M$3:$M$500,"Cirugía",Hospitalización!$AX$3:$AX$500,"SI")</f>
        <v>7</v>
      </c>
      <c r="I30" s="23">
        <f>SUM(B30:H30)</f>
        <v>48</v>
      </c>
    </row>
    <row r="31" spans="1:18">
      <c r="A31" s="17" t="s">
        <v>217</v>
      </c>
      <c r="B31" s="6">
        <f>COUNTIFS(Hospitalización!$M$3:$M$500,"Hospitalización General",Hospitalización!$AX$3:$AX$500,"no")</f>
        <v>0</v>
      </c>
      <c r="C31" s="6">
        <f>COUNTIFS(Hospitalización!$M$3:$M$500,"Hospitalización Ginecología",Hospitalización!$AX$3:$AX$500,"no")</f>
        <v>0</v>
      </c>
      <c r="D31" s="6">
        <f>COUNTIFS(Hospitalización!$M$3:$M$500,"Hospitalización Medicina Interna",Hospitalización!$AX$3:$AX$500,"no")</f>
        <v>0</v>
      </c>
      <c r="E31" s="6">
        <f>COUNTIFS(Hospitalización!$M$3:$M$500,"Hospitalización Pediatría",Hospitalización!$AX$3:$AX$500,"no")</f>
        <v>0</v>
      </c>
      <c r="F31" s="6">
        <f>COUNTIFS(Hospitalización!$M$3:$M$500,"Hospitalización Quirurgicas",Hospitalización!$AX$3:$AX$500,"no")</f>
        <v>0</v>
      </c>
      <c r="G31" s="6">
        <f>COUNTIFS(Hospitalización!$M$3:$M$500,"Unidades de cuidados intensivos",Hospitalización!$AX$3:$AX$500,"no")</f>
        <v>0</v>
      </c>
      <c r="H31" s="6">
        <f>COUNTIFS(Hospitalización!$M$3:$M$500,"cirugía",Hospitalización!$AX$3:$AX$500,"no")</f>
        <v>0</v>
      </c>
      <c r="I31" s="23">
        <f>SUM(B31:H31)</f>
        <v>0</v>
      </c>
    </row>
    <row r="32" spans="1:18">
      <c r="A32" s="17" t="s">
        <v>218</v>
      </c>
      <c r="B32" s="6">
        <f>COUNTIFS(Hospitalización!$M$3:$M$500,"Hospitalización General",Hospitalización!$AX$3:$AX$500,"No Recuerda")</f>
        <v>0</v>
      </c>
      <c r="C32" s="6">
        <f>COUNTIFS(Hospitalización!$M$3:$M$500,"Hospitalización Ginecología",Hospitalización!$AX$3:$AX$500,"No Recuerda")</f>
        <v>0</v>
      </c>
      <c r="D32" s="6">
        <f>COUNTIFS(Hospitalización!$M$3:$M$500,"Hospitalización Medicina Interna",Hospitalización!$AX$3:$AX$500,"No Recuerda")</f>
        <v>0</v>
      </c>
      <c r="E32" s="6">
        <f>COUNTIFS(Hospitalización!$M$3:$M$500,"Hospitalización Pediatría",Hospitalización!$AX$3:$AX$500,"No Recuerda")</f>
        <v>0</v>
      </c>
      <c r="F32" s="6">
        <f>COUNTIFS(Hospitalización!$M$3:$M$500,"Hospitalización Quirurgicas",Hospitalización!$AX$3:$AX$500,"No Recuerda")</f>
        <v>0</v>
      </c>
      <c r="G32" s="6">
        <f>COUNTIFS(Hospitalización!$M$3:$M$500,"Unidades de cuidados intensivos",Hospitalización!$AX$3:$AX$500,"No Recuerda")</f>
        <v>0</v>
      </c>
      <c r="H32" s="6">
        <f>COUNTIFS(Hospitalización!$M$3:$M$500,"cirugía",Hospitalización!$AX$3:$AX$500,"No Recuerda")</f>
        <v>0</v>
      </c>
      <c r="I32" s="23">
        <f>SUM(B32:H32)</f>
        <v>0</v>
      </c>
    </row>
    <row r="33" spans="1:13">
      <c r="A33" s="17" t="s">
        <v>219</v>
      </c>
      <c r="B33" s="6">
        <f>COUNTIFS(Hospitalización!$M$3:$M$500,"Hospitalización General",Hospitalización!$AX$3:$AX$500,"No Responde")</f>
        <v>0</v>
      </c>
      <c r="C33" s="6">
        <f>COUNTIFS(Hospitalización!$M$3:$M$500,"Hospitalización Ginecología",Hospitalización!$AX$3:$AX$500,"No Responde")</f>
        <v>1</v>
      </c>
      <c r="D33" s="6">
        <f>COUNTIFS(Hospitalización!$M$3:$M$500,"Hospitalización Medicina Interna",Hospitalización!$AX$3:$AX$500,"No Responde")</f>
        <v>0</v>
      </c>
      <c r="E33" s="6">
        <f>COUNTIFS(Hospitalización!$M$3:$M$500,"Hospitalización Pediatría",Hospitalización!$AX$3:$AX$500,"No Responde")</f>
        <v>0</v>
      </c>
      <c r="F33" s="6">
        <f>COUNTIFS(Hospitalización!$M$3:$M$500,"Hospitalización Quirurgicas",Hospitalización!$AX$3:$AX$500,"No Responde")</f>
        <v>0</v>
      </c>
      <c r="G33" s="6">
        <f>COUNTIFS(Hospitalización!$M$3:$M$500,"Unidades de cuidados intensivos",Hospitalización!$AX$3:$AX$500,"No Responde")</f>
        <v>0</v>
      </c>
      <c r="H33" s="6">
        <f>COUNTIFS(Hospitalización!$M$3:$M$500,"cirugía",Hospitalización!$AX$3:$AX$500,"No Responde")</f>
        <v>0</v>
      </c>
      <c r="I33" s="23">
        <f>SUM(B33:H33)</f>
        <v>1</v>
      </c>
    </row>
    <row r="34" spans="1:13">
      <c r="B34" s="27">
        <f>SUM(B30:B33)</f>
        <v>7</v>
      </c>
      <c r="C34" s="27">
        <f t="shared" ref="C34:I34" si="7">SUM(C30:C33)</f>
        <v>7</v>
      </c>
      <c r="D34" s="27">
        <f t="shared" si="7"/>
        <v>7</v>
      </c>
      <c r="E34" s="27">
        <f t="shared" si="7"/>
        <v>7</v>
      </c>
      <c r="F34" s="27">
        <f t="shared" si="7"/>
        <v>7</v>
      </c>
      <c r="G34" s="27">
        <f t="shared" si="7"/>
        <v>7</v>
      </c>
      <c r="H34" s="27">
        <f t="shared" si="7"/>
        <v>7</v>
      </c>
      <c r="I34" s="27">
        <f t="shared" si="7"/>
        <v>49</v>
      </c>
    </row>
    <row r="38" spans="1:13">
      <c r="B38" s="224" t="s">
        <v>15</v>
      </c>
      <c r="C38" s="224"/>
      <c r="D38" s="224"/>
      <c r="E38" s="224"/>
      <c r="F38" s="224"/>
      <c r="G38" s="224"/>
      <c r="H38" s="224"/>
    </row>
    <row r="39" spans="1:13" ht="36">
      <c r="A39" s="33"/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22</v>
      </c>
      <c r="L39" s="41"/>
      <c r="M39" s="22"/>
    </row>
    <row r="40" spans="1:13">
      <c r="A40" s="17" t="s">
        <v>216</v>
      </c>
      <c r="B40" s="18">
        <f>+B30/$B$34</f>
        <v>1</v>
      </c>
      <c r="C40" s="18">
        <f>+C30/$C$34</f>
        <v>0.8571428571428571</v>
      </c>
      <c r="D40" s="18">
        <f>+D30/$D$34</f>
        <v>1</v>
      </c>
      <c r="E40" s="18">
        <f>+E30/$E$34</f>
        <v>1</v>
      </c>
      <c r="F40" s="18">
        <f>+F30/$F$34</f>
        <v>1</v>
      </c>
      <c r="G40" s="18">
        <f>+G30/$G$34</f>
        <v>1</v>
      </c>
      <c r="H40" s="18">
        <f>+H30/$H$34</f>
        <v>1</v>
      </c>
      <c r="L40" s="43"/>
      <c r="M40" s="19"/>
    </row>
    <row r="41" spans="1:13">
      <c r="A41" s="17" t="s">
        <v>217</v>
      </c>
      <c r="B41" s="18">
        <f t="shared" ref="B41:B43" si="8">+B31/$B$34</f>
        <v>0</v>
      </c>
      <c r="C41" s="18">
        <f t="shared" ref="C41:C43" si="9">+C31/$C$34</f>
        <v>0</v>
      </c>
      <c r="D41" s="18">
        <f t="shared" ref="D41:D43" si="10">+D31/$D$34</f>
        <v>0</v>
      </c>
      <c r="E41" s="18">
        <f t="shared" ref="E41:E43" si="11">+E31/$E$34</f>
        <v>0</v>
      </c>
      <c r="F41" s="18">
        <f t="shared" ref="F41:F43" si="12">+F31/$F$34</f>
        <v>0</v>
      </c>
      <c r="G41" s="18">
        <f t="shared" ref="G41:G43" si="13">+G31/$G$34</f>
        <v>0</v>
      </c>
      <c r="H41" s="18">
        <f t="shared" ref="H41:H43" si="14">+H31/$H$34</f>
        <v>0</v>
      </c>
      <c r="L41" s="43"/>
      <c r="M41" s="19"/>
    </row>
    <row r="42" spans="1:13">
      <c r="A42" s="17" t="s">
        <v>218</v>
      </c>
      <c r="B42" s="18">
        <f t="shared" si="8"/>
        <v>0</v>
      </c>
      <c r="C42" s="18">
        <f t="shared" si="9"/>
        <v>0</v>
      </c>
      <c r="D42" s="18">
        <f t="shared" si="10"/>
        <v>0</v>
      </c>
      <c r="E42" s="18">
        <f t="shared" si="11"/>
        <v>0</v>
      </c>
      <c r="F42" s="18">
        <f t="shared" si="12"/>
        <v>0</v>
      </c>
      <c r="G42" s="18">
        <f t="shared" si="13"/>
        <v>0</v>
      </c>
      <c r="H42" s="18">
        <f t="shared" si="14"/>
        <v>0</v>
      </c>
      <c r="L42" s="43"/>
      <c r="M42" s="19"/>
    </row>
    <row r="43" spans="1:13">
      <c r="A43" s="17" t="s">
        <v>219</v>
      </c>
      <c r="B43" s="18">
        <f t="shared" si="8"/>
        <v>0</v>
      </c>
      <c r="C43" s="18">
        <f t="shared" si="9"/>
        <v>0.14285714285714285</v>
      </c>
      <c r="D43" s="18">
        <f t="shared" si="10"/>
        <v>0</v>
      </c>
      <c r="E43" s="18">
        <f t="shared" si="11"/>
        <v>0</v>
      </c>
      <c r="F43" s="18">
        <f t="shared" si="12"/>
        <v>0</v>
      </c>
      <c r="G43" s="18">
        <f t="shared" si="13"/>
        <v>0</v>
      </c>
      <c r="H43" s="18">
        <f t="shared" si="14"/>
        <v>0</v>
      </c>
      <c r="L43" s="43"/>
      <c r="M43" s="19"/>
    </row>
    <row r="44" spans="1:13">
      <c r="B44" s="46">
        <f>SUM(B40:B43)</f>
        <v>1</v>
      </c>
      <c r="C44" s="46">
        <f t="shared" ref="C44:H44" si="15">SUM(C40:C43)</f>
        <v>1</v>
      </c>
      <c r="D44" s="46">
        <f t="shared" si="15"/>
        <v>1</v>
      </c>
      <c r="E44" s="46">
        <f t="shared" si="15"/>
        <v>1</v>
      </c>
      <c r="F44" s="46">
        <f t="shared" si="15"/>
        <v>1</v>
      </c>
      <c r="G44" s="46">
        <f t="shared" si="15"/>
        <v>1</v>
      </c>
      <c r="H44" s="46">
        <f t="shared" si="15"/>
        <v>1</v>
      </c>
      <c r="L44" s="43"/>
      <c r="M44" s="19"/>
    </row>
  </sheetData>
  <mergeCells count="4">
    <mergeCell ref="B3:G3"/>
    <mergeCell ref="B12:G12"/>
    <mergeCell ref="B28:H28"/>
    <mergeCell ref="B38:H3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:R38"/>
  <sheetViews>
    <sheetView topLeftCell="B16" workbookViewId="0">
      <selection activeCell="B3" sqref="B3:H3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4" width="15.6640625" customWidth="1"/>
    <col min="5" max="5" width="13.33203125" customWidth="1"/>
    <col min="6" max="6" width="13.88671875" customWidth="1"/>
    <col min="10" max="10" width="3.109375" customWidth="1"/>
    <col min="11" max="11" width="8.6640625" customWidth="1"/>
    <col min="12" max="12" width="13.88671875" customWidth="1"/>
    <col min="13" max="13" width="13.6640625" customWidth="1"/>
    <col min="14" max="14" width="14.33203125" customWidth="1"/>
    <col min="15" max="15" width="13.6640625" customWidth="1"/>
    <col min="16" max="16" width="13.33203125" customWidth="1"/>
  </cols>
  <sheetData>
    <row r="1" spans="1:17">
      <c r="A1" s="41" t="s">
        <v>270</v>
      </c>
    </row>
    <row r="3" spans="1:17" ht="15" customHeight="1">
      <c r="B3" s="225" t="s">
        <v>1</v>
      </c>
      <c r="C3" s="226"/>
      <c r="D3" s="226"/>
      <c r="E3" s="226"/>
      <c r="F3" s="226"/>
      <c r="G3" s="226"/>
      <c r="H3" s="227"/>
      <c r="L3" s="118" t="s">
        <v>1</v>
      </c>
      <c r="M3" s="119"/>
      <c r="N3" s="119"/>
      <c r="O3" s="119"/>
      <c r="P3" s="119"/>
      <c r="Q3" s="120"/>
    </row>
    <row r="4" spans="1:17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K4" s="42"/>
      <c r="L4" s="3" t="s">
        <v>2</v>
      </c>
      <c r="M4" s="3" t="s">
        <v>3</v>
      </c>
      <c r="N4" s="4" t="s">
        <v>4</v>
      </c>
      <c r="O4" s="3" t="s">
        <v>5</v>
      </c>
      <c r="P4" s="3" t="s">
        <v>6</v>
      </c>
      <c r="Q4" s="3" t="s">
        <v>8</v>
      </c>
    </row>
    <row r="5" spans="1:17">
      <c r="A5" s="17" t="s">
        <v>216</v>
      </c>
      <c r="B5" s="6">
        <f>COUNTIFS(Ambulatorio!M73:M483,"Ayudas Diagnósticas Laboratorio y Patología",Ambulatorio!BY73:BY483,"Sí")</f>
        <v>20</v>
      </c>
      <c r="C5" s="6">
        <f>COUNTIFS(Ambulatorio!$M$73:$M$483,"Ayudas Diagnósticas RX - TAC",Ambulatorio!$BY$73:$BY$483,"Sí")</f>
        <v>21</v>
      </c>
      <c r="D5" s="6">
        <f>COUNTIFS(Ambulatorio!$M$73:$M$483,"Ayudas Diagnósticas Servicios Complementarios",Ambulatorio!$BY$73:$BY$483,"Sí")</f>
        <v>30</v>
      </c>
      <c r="E5" s="6">
        <f>COUNTIFS(Ambulatorio!$M$73:$M$483,"Citas Médicas- Facturación",Ambulatorio!$BY$73:$BY$483,"Sí")</f>
        <v>0</v>
      </c>
      <c r="F5" s="6">
        <f>COUNTIFS(Ambulatorio!$M$73:$M$483,"Terapias",Ambulatorio!$BY$73:$BY$483,"Sí")</f>
        <v>0</v>
      </c>
      <c r="G5" s="6">
        <f>COUNTIFS(Ambulatorio!$M$73:$M$483,"Urgencias",Ambulatorio!$BY$73:$BY$483,"Sí")</f>
        <v>98</v>
      </c>
      <c r="H5" s="6">
        <f>SUM(B5:G5)</f>
        <v>169</v>
      </c>
      <c r="K5" s="17" t="s">
        <v>216</v>
      </c>
      <c r="L5" s="18">
        <f>+B5/B7</f>
        <v>1</v>
      </c>
      <c r="M5" s="18">
        <f>+C5/C7</f>
        <v>1</v>
      </c>
      <c r="N5" s="18">
        <f>+D5/D7</f>
        <v>1</v>
      </c>
      <c r="O5" s="18" t="e">
        <f>+E5/E7</f>
        <v>#DIV/0!</v>
      </c>
      <c r="P5" s="18" t="e">
        <f>+F5/F7</f>
        <v>#DIV/0!</v>
      </c>
      <c r="Q5" s="18">
        <f>+H5/H7</f>
        <v>1</v>
      </c>
    </row>
    <row r="6" spans="1:17">
      <c r="A6" s="17" t="s">
        <v>217</v>
      </c>
      <c r="B6" s="6">
        <f>COUNTIFS(Ambulatorio!$M$73:$M$483,"Ayudas Diagnósticas Laboratorio y Patología",Ambulatorio!$BY$73:$BY$483,"NO")</f>
        <v>0</v>
      </c>
      <c r="C6" s="6">
        <f>COUNTIFS(Ambulatorio!$M$73:$M$483,"Ayudas Diagnósticas RX - TAC",Ambulatorio!$BY$73:$BY$483,"NO")</f>
        <v>0</v>
      </c>
      <c r="D6" s="6">
        <f>COUNTIFS(Ambulatorio!$M$73:$M$483,"Ayudas Diagnósticas Servicios Complementarios",Ambulatorio!$BY$73:$BY$483,"NO")</f>
        <v>0</v>
      </c>
      <c r="E6" s="6">
        <f>COUNTIFS(Ambulatorio!$M$73:$M$483,"Citas Médicas- Facturación",Ambulatorio!$BY$73:$BY$483,"NO")</f>
        <v>0</v>
      </c>
      <c r="F6" s="6">
        <f>COUNTIFS(Ambulatorio!$M$73:$M$483,"terapias",Ambulatorio!$BY$73:$BY$483,"NO")</f>
        <v>0</v>
      </c>
      <c r="G6" s="6">
        <f>COUNTIFS(Ambulatorio!$M$73:$M$483,"Urgencias",Ambulatorio!$BY$73:$BY$483,"NO")</f>
        <v>0</v>
      </c>
      <c r="H6" s="6">
        <f>SUM(B6:G6)</f>
        <v>0</v>
      </c>
      <c r="K6" s="17" t="s">
        <v>217</v>
      </c>
      <c r="L6" s="18">
        <f>COUNTIFS(Ambulatorio!$M$73:$M$483,"Laboratorio y Patología",Ambulatorio!$BV$73:$BV$483,"NO")</f>
        <v>0</v>
      </c>
      <c r="M6" s="18">
        <f>+C6/C7</f>
        <v>0</v>
      </c>
      <c r="N6" s="18">
        <f>+D6/D7</f>
        <v>0</v>
      </c>
      <c r="O6" s="18" t="e">
        <f>+E6/E7</f>
        <v>#DIV/0!</v>
      </c>
      <c r="P6" s="18" t="e">
        <f>+F6/F7</f>
        <v>#DIV/0!</v>
      </c>
      <c r="Q6" s="18">
        <f>+H6/H7</f>
        <v>0</v>
      </c>
    </row>
    <row r="7" spans="1:17">
      <c r="A7" s="43"/>
      <c r="B7" s="23">
        <f t="shared" ref="B7:H7" si="0">SUM(B5:B6)</f>
        <v>20</v>
      </c>
      <c r="C7" s="23">
        <f t="shared" si="0"/>
        <v>21</v>
      </c>
      <c r="D7" s="23">
        <f t="shared" si="0"/>
        <v>30</v>
      </c>
      <c r="E7" s="23">
        <f t="shared" si="0"/>
        <v>0</v>
      </c>
      <c r="F7" s="23">
        <f t="shared" si="0"/>
        <v>0</v>
      </c>
      <c r="G7" s="23">
        <f t="shared" si="0"/>
        <v>98</v>
      </c>
      <c r="H7" s="23">
        <f t="shared" si="0"/>
        <v>169</v>
      </c>
      <c r="K7" s="43"/>
      <c r="L7" s="18">
        <f t="shared" ref="L7:Q7" si="1">SUM(L5:L6)</f>
        <v>1</v>
      </c>
      <c r="M7" s="18">
        <f t="shared" si="1"/>
        <v>1</v>
      </c>
      <c r="N7" s="18">
        <f t="shared" si="1"/>
        <v>1</v>
      </c>
      <c r="O7" s="18" t="e">
        <f t="shared" si="1"/>
        <v>#DIV/0!</v>
      </c>
      <c r="P7" s="18" t="e">
        <f t="shared" si="1"/>
        <v>#DIV/0!</v>
      </c>
      <c r="Q7" s="18">
        <f t="shared" si="1"/>
        <v>1</v>
      </c>
    </row>
    <row r="12" spans="1:17" ht="15" customHeight="1">
      <c r="L12" t="s">
        <v>271</v>
      </c>
    </row>
    <row r="13" spans="1:17">
      <c r="K13" s="42"/>
      <c r="L13" s="4" t="s">
        <v>8</v>
      </c>
      <c r="M13" s="22"/>
      <c r="N13" s="22"/>
      <c r="O13" s="22"/>
      <c r="P13" s="22"/>
    </row>
    <row r="14" spans="1:17">
      <c r="B14" s="2"/>
      <c r="K14" s="17" t="s">
        <v>216</v>
      </c>
      <c r="L14" s="45">
        <f>+Q5/Q7</f>
        <v>1</v>
      </c>
      <c r="M14" s="19"/>
      <c r="N14" s="19"/>
      <c r="O14" s="19"/>
      <c r="P14" s="19"/>
      <c r="Q14" s="19"/>
    </row>
    <row r="15" spans="1:17">
      <c r="A15" s="41"/>
      <c r="K15" s="17" t="s">
        <v>217</v>
      </c>
      <c r="L15" s="45">
        <f>+Q6/Q7</f>
        <v>0</v>
      </c>
      <c r="M15" s="19"/>
      <c r="N15" s="19"/>
      <c r="O15" s="19"/>
      <c r="P15" s="19"/>
      <c r="Q15" s="19"/>
    </row>
    <row r="16" spans="1:17">
      <c r="A16" s="41"/>
      <c r="K16" s="43"/>
      <c r="L16" s="45">
        <f>SUM(L14:L15)</f>
        <v>1</v>
      </c>
      <c r="M16" s="19"/>
      <c r="N16" s="19"/>
      <c r="O16" s="19"/>
      <c r="P16" s="19"/>
      <c r="Q16" s="19"/>
    </row>
    <row r="26" spans="1:18">
      <c r="B26" s="114" t="s">
        <v>15</v>
      </c>
      <c r="C26" s="115"/>
      <c r="D26" s="115"/>
      <c r="E26" s="115"/>
      <c r="F26" s="115"/>
      <c r="G26" s="115"/>
      <c r="H26" s="115"/>
      <c r="I26" s="115"/>
      <c r="L26" s="114" t="s">
        <v>15</v>
      </c>
      <c r="M26" s="115"/>
      <c r="N26" s="115"/>
      <c r="O26" s="115"/>
      <c r="P26" s="115"/>
      <c r="Q26" s="115"/>
      <c r="R26" s="115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General",Hospitalización!$BD$3:$BD$500,"SÍ")</f>
        <v>7</v>
      </c>
      <c r="C28" s="23">
        <f>COUNTIFS(Hospitalización!$M$3:$M$500,"Hospitalización Ginecología",Hospitalización!$BD$3:$BD$500,"SÍ")</f>
        <v>7</v>
      </c>
      <c r="D28" s="23">
        <f>COUNTIFS(Hospitalización!$M$3:$M$500,"Hospitalización Medicina Interna",Hospitalización!$BD$3:$BD$500,"SÍ")</f>
        <v>7</v>
      </c>
      <c r="E28" s="23">
        <f>COUNTIFS(Hospitalización!$M$3:$M$500,"Hospitalización Pediatría",Hospitalización!$BD$3:$BD$500,"SÍ")</f>
        <v>7</v>
      </c>
      <c r="F28" s="23">
        <f>COUNTIFS(Hospitalización!$M$3:$M$500,"Hospitalización QuiRurgicas",Hospitalización!$BD$3:$BD$500,"SÍ")</f>
        <v>7</v>
      </c>
      <c r="G28" s="23">
        <f>COUNTIFS(Hospitalización!$M$3:$M$500,"Unidades de cuidados intensivos",Hospitalización!$BD$3:$BD$500,"SÍ")</f>
        <v>7</v>
      </c>
      <c r="H28" s="23">
        <f>COUNTIFS(Hospitalización!$M$3:$M$500,"Cirugía",Hospitalización!$BD$3:$BD$500,"SÍ")</f>
        <v>7</v>
      </c>
      <c r="I28" s="23">
        <f>SUM(B28:H28)</f>
        <v>49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General",Hospitalización!$BD$3:$BD$500,"no")</f>
        <v>0</v>
      </c>
      <c r="C29" s="23">
        <f>COUNTIFS(Hospitalización!$M$3:$M$500,"Hospitalización Ginecología",Hospitalización!$BD$3:$BD$500,"no")</f>
        <v>0</v>
      </c>
      <c r="D29" s="23">
        <f>COUNTIFS(Hospitalización!$M$3:$M$500,"Hospitalización Medicina Interna",Hospitalización!$BD$3:$BD$500,"no")</f>
        <v>0</v>
      </c>
      <c r="E29" s="23">
        <f>COUNTIFS(Hospitalización!$M$3:$M$500,"Hospitalización Pediatría",Hospitalización!$BD$3:$BD$500,"no")</f>
        <v>0</v>
      </c>
      <c r="F29" s="23">
        <f>COUNTIFS(Hospitalización!$M$3:$M$500,"Hospitalización Quirurgicas",Hospitalización!$BD$3:$BD$500,"no")</f>
        <v>0</v>
      </c>
      <c r="G29" s="23">
        <f>COUNTIFS(Hospitalización!$M$3:$M$500,"Unidades de cuidados intensivos",Hospitalización!$BD$3:$BD$500,"no")</f>
        <v>0</v>
      </c>
      <c r="H29" s="23">
        <f>COUNTIFS(Hospitalización!$M$3:$M$500,"Cirugía",Hospitalización!$BD$3:$BD$500,"no")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7</v>
      </c>
      <c r="E30" s="44">
        <f t="shared" si="4"/>
        <v>7</v>
      </c>
      <c r="F30" s="44">
        <f t="shared" si="4"/>
        <v>7</v>
      </c>
      <c r="G30" s="44">
        <f t="shared" si="4"/>
        <v>7</v>
      </c>
      <c r="H30" s="44">
        <f t="shared" si="4"/>
        <v>7</v>
      </c>
      <c r="I30" s="44">
        <f t="shared" si="4"/>
        <v>49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1:12">
      <c r="L34" t="s">
        <v>15</v>
      </c>
    </row>
    <row r="35" spans="11:12">
      <c r="K35" s="42"/>
      <c r="L35" s="4" t="s">
        <v>8</v>
      </c>
    </row>
    <row r="36" spans="11:12">
      <c r="K36" s="17" t="s">
        <v>216</v>
      </c>
      <c r="L36" s="45">
        <f>+I28/I30</f>
        <v>1</v>
      </c>
    </row>
    <row r="37" spans="11:12">
      <c r="K37" s="17" t="s">
        <v>217</v>
      </c>
      <c r="L37" s="45">
        <f>+I29/I30</f>
        <v>0</v>
      </c>
    </row>
    <row r="38" spans="11:12">
      <c r="K38" s="43"/>
      <c r="L38" s="45">
        <f>SUM(L36:L37)</f>
        <v>1</v>
      </c>
    </row>
  </sheetData>
  <mergeCells count="4">
    <mergeCell ref="B3:H3"/>
    <mergeCell ref="L3:Q3"/>
    <mergeCell ref="B26:I26"/>
    <mergeCell ref="L26:R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R38"/>
  <sheetViews>
    <sheetView topLeftCell="A14" workbookViewId="0">
      <selection activeCell="G6" sqref="G6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3.33203125" customWidth="1"/>
    <col min="6" max="6" width="13.88671875" customWidth="1"/>
    <col min="9" max="9" width="10.109375" customWidth="1"/>
    <col min="10" max="10" width="8.6640625" customWidth="1"/>
    <col min="11" max="11" width="13.88671875" customWidth="1"/>
    <col min="12" max="12" width="13.6640625" customWidth="1"/>
    <col min="13" max="13" width="14.33203125" customWidth="1"/>
    <col min="14" max="14" width="13.6640625" customWidth="1"/>
    <col min="15" max="15" width="13.33203125" customWidth="1"/>
  </cols>
  <sheetData>
    <row r="1" spans="1:16">
      <c r="A1" s="41" t="s">
        <v>272</v>
      </c>
    </row>
    <row r="3" spans="1:16">
      <c r="B3" s="118" t="s">
        <v>271</v>
      </c>
      <c r="C3" s="119"/>
      <c r="D3" s="119"/>
      <c r="E3" s="119"/>
      <c r="F3" s="119"/>
      <c r="G3" s="119"/>
      <c r="H3" s="120"/>
      <c r="K3" s="118" t="s">
        <v>271</v>
      </c>
      <c r="L3" s="119"/>
      <c r="M3" s="119"/>
      <c r="N3" s="119"/>
      <c r="O3" s="119"/>
      <c r="P3" s="120"/>
    </row>
    <row r="4" spans="1:16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J4" s="42"/>
      <c r="K4" s="3" t="s">
        <v>2</v>
      </c>
      <c r="L4" s="3" t="s">
        <v>3</v>
      </c>
      <c r="M4" s="4" t="s">
        <v>4</v>
      </c>
      <c r="N4" s="3" t="s">
        <v>5</v>
      </c>
      <c r="O4" s="3" t="s">
        <v>6</v>
      </c>
      <c r="P4" s="3" t="s">
        <v>8</v>
      </c>
    </row>
    <row r="5" spans="1:16">
      <c r="A5" s="17" t="s">
        <v>216</v>
      </c>
      <c r="B5" s="6">
        <f>COUNTIFS(Ambulatorio!$M$73:$M$483,"Ayudas Diagnósticas Laboratorio y Patología",Ambulatorio!$BV$73:$BV$483,"Sí")</f>
        <v>20</v>
      </c>
      <c r="C5" s="6">
        <f>COUNTIFS(Ambulatorio!$M$73:$M$483,"Ayudas Diagnósticas RX - TAC",Ambulatorio!$BV$73:$BV$483,"Sí")</f>
        <v>21</v>
      </c>
      <c r="D5" s="6">
        <f>COUNTIFS(Ambulatorio!$M$73:$M$483,"Ayudas Diagnósticas Servicios Complementarios",Ambulatorio!$BV$73:$BV$483,"Sí")</f>
        <v>30</v>
      </c>
      <c r="E5" s="6">
        <f>COUNTIFS(Ambulatorio!$M$73:$M$483,"Citas Médicas- Facturación",Ambulatorio!$BV$73:$BV$483,"Sí")</f>
        <v>0</v>
      </c>
      <c r="F5" s="6">
        <f>COUNTIFS(Ambulatorio!$M$73:$M$483,"Terapias",Ambulatorio!$BV$73:$BV$483,"Sí")</f>
        <v>0</v>
      </c>
      <c r="G5" s="6">
        <f>COUNTIFS(Ambulatorio!$M$73:$M$483,"Urgencias",Ambulatorio!$BV$73:$BV$483,"Sí")</f>
        <v>96</v>
      </c>
      <c r="H5" s="6">
        <f>SUM(B5:G5)</f>
        <v>167</v>
      </c>
      <c r="J5" s="17" t="s">
        <v>216</v>
      </c>
      <c r="K5" s="18">
        <f>+B5/B7</f>
        <v>1</v>
      </c>
      <c r="L5" s="18">
        <f>+C5/C7</f>
        <v>1</v>
      </c>
      <c r="M5" s="18">
        <f>+D5/D7</f>
        <v>1</v>
      </c>
      <c r="N5" s="18" t="e">
        <f>+E5/E7</f>
        <v>#DIV/0!</v>
      </c>
      <c r="O5" s="18" t="e">
        <f>+F5/F7</f>
        <v>#DIV/0!</v>
      </c>
      <c r="P5" s="18">
        <f>+H5/H7</f>
        <v>1</v>
      </c>
    </row>
    <row r="6" spans="1:16">
      <c r="A6" s="17" t="s">
        <v>217</v>
      </c>
      <c r="B6" s="6">
        <f>COUNTIFS(Ambulatorio!$M$73:$M$483,"Ayudas Diagnósticas Laboratorio y Patología",Ambulatorio!$BV$73:$BV$483,"NO")</f>
        <v>0</v>
      </c>
      <c r="C6" s="6">
        <f>COUNTIFS(Ambulatorio!$M$73:$M$483,"Ayudas Diagnósticas RX - TAC",Ambulatorio!$BV$73:$BV$483,"NO")</f>
        <v>0</v>
      </c>
      <c r="D6" s="6">
        <f>COUNTIFS(Ambulatorio!$M$73:$M$483,"Ayudas Diagnósticas Servicios Complementarios",Ambulatorio!$BV$73:$BV$483,"NO")</f>
        <v>0</v>
      </c>
      <c r="E6" s="6">
        <f>COUNTIFS(Ambulatorio!$M$73:$M$483,"Citas Médicas- Facturación",Ambulatorio!$BV$73:$BV$483,"NO")</f>
        <v>0</v>
      </c>
      <c r="F6" s="6">
        <f>COUNTIFS(Ambulatorio!$M$73:$M$483,"terapias",Ambulatorio!$BV$73:$BV$483,"NO")</f>
        <v>0</v>
      </c>
      <c r="G6" s="6">
        <f>COUNTIFS(Ambulatorio!$M$73:$M$483,"Urgencias",Ambulatorio!$BV$73:$BV$483,"NO")</f>
        <v>0</v>
      </c>
      <c r="H6" s="6">
        <f>SUM(B6:G6)</f>
        <v>0</v>
      </c>
      <c r="J6" s="17" t="s">
        <v>217</v>
      </c>
      <c r="K6" s="18">
        <f>COUNTIFS(Ambulatorio!$M$73:$M$483,"Laboratorio y Patología",Ambulatorio!$BV$73:$BV$483,"NO")</f>
        <v>0</v>
      </c>
      <c r="L6" s="18">
        <f>+C6/C7</f>
        <v>0</v>
      </c>
      <c r="M6" s="18">
        <f>+D6/D7</f>
        <v>0</v>
      </c>
      <c r="N6" s="18" t="e">
        <f>+E6/E7</f>
        <v>#DIV/0!</v>
      </c>
      <c r="O6" s="18" t="e">
        <f>+F6/F7</f>
        <v>#DIV/0!</v>
      </c>
      <c r="P6" s="18">
        <f>+H6/H7</f>
        <v>0</v>
      </c>
    </row>
    <row r="7" spans="1:16">
      <c r="A7" s="43"/>
      <c r="B7" s="23">
        <f>SUM(B5:B6)</f>
        <v>20</v>
      </c>
      <c r="C7" s="23">
        <f t="shared" ref="C7:H7" si="0">SUM(C5:C6)</f>
        <v>21</v>
      </c>
      <c r="D7" s="23">
        <f t="shared" si="0"/>
        <v>30</v>
      </c>
      <c r="E7" s="23">
        <f t="shared" si="0"/>
        <v>0</v>
      </c>
      <c r="F7" s="23">
        <f t="shared" si="0"/>
        <v>0</v>
      </c>
      <c r="G7" s="23">
        <f t="shared" si="0"/>
        <v>96</v>
      </c>
      <c r="H7" s="23">
        <f t="shared" si="0"/>
        <v>167</v>
      </c>
      <c r="J7" s="43"/>
      <c r="K7" s="18">
        <f t="shared" ref="K7:P7" si="1">SUM(K5:K6)</f>
        <v>1</v>
      </c>
      <c r="L7" s="18">
        <f t="shared" si="1"/>
        <v>1</v>
      </c>
      <c r="M7" s="18">
        <f t="shared" si="1"/>
        <v>1</v>
      </c>
      <c r="N7" s="18" t="e">
        <f t="shared" si="1"/>
        <v>#DIV/0!</v>
      </c>
      <c r="O7" s="18" t="e">
        <f t="shared" si="1"/>
        <v>#DIV/0!</v>
      </c>
      <c r="P7" s="18">
        <f t="shared" si="1"/>
        <v>1</v>
      </c>
    </row>
    <row r="12" spans="1:16" ht="15" customHeight="1">
      <c r="K12" t="s">
        <v>271</v>
      </c>
    </row>
    <row r="13" spans="1:16">
      <c r="J13" s="42"/>
      <c r="K13" s="4" t="s">
        <v>8</v>
      </c>
      <c r="L13" s="22"/>
      <c r="M13" s="22"/>
      <c r="N13" s="22"/>
      <c r="O13" s="22"/>
    </row>
    <row r="14" spans="1:16">
      <c r="B14" s="2"/>
      <c r="J14" s="17" t="s">
        <v>216</v>
      </c>
      <c r="K14" s="45">
        <f>+P5/P7</f>
        <v>1</v>
      </c>
      <c r="L14" s="19"/>
      <c r="M14" s="19"/>
      <c r="N14" s="19"/>
      <c r="O14" s="19"/>
      <c r="P14" s="19"/>
    </row>
    <row r="15" spans="1:16">
      <c r="A15" s="41"/>
      <c r="J15" s="17" t="s">
        <v>217</v>
      </c>
      <c r="K15" s="45">
        <f>+P6/P7</f>
        <v>0</v>
      </c>
      <c r="L15" s="19"/>
      <c r="M15" s="19"/>
      <c r="N15" s="19"/>
      <c r="O15" s="19"/>
      <c r="P15" s="19"/>
    </row>
    <row r="16" spans="1:16">
      <c r="A16" s="41"/>
      <c r="J16" s="43"/>
      <c r="K16" s="45">
        <f>SUM(K14:K15)</f>
        <v>1</v>
      </c>
      <c r="L16" s="19"/>
      <c r="M16" s="19"/>
      <c r="N16" s="19"/>
      <c r="O16" s="19"/>
      <c r="P16" s="19"/>
    </row>
    <row r="26" spans="1:18">
      <c r="B26" s="114" t="s">
        <v>15</v>
      </c>
      <c r="C26" s="115"/>
      <c r="D26" s="115"/>
      <c r="E26" s="115"/>
      <c r="F26" s="115"/>
      <c r="G26" s="115"/>
      <c r="H26" s="115"/>
      <c r="I26" s="115"/>
      <c r="L26" s="114" t="s">
        <v>15</v>
      </c>
      <c r="M26" s="115"/>
      <c r="N26" s="115"/>
      <c r="O26" s="115"/>
      <c r="P26" s="115"/>
      <c r="Q26" s="115"/>
      <c r="R26" s="115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General",Hospitalización!$BA$3:$BA$500,"SÍ")</f>
        <v>7</v>
      </c>
      <c r="C28" s="23">
        <f>COUNTIFS(Hospitalización!$M$3:$M$500,"Hospitalización Ginecología",Hospitalización!$BA$3:$BA$500,"SÍ")</f>
        <v>7</v>
      </c>
      <c r="D28" s="23">
        <f>COUNTIFS(Hospitalización!$M$3:$M$500,"Hospitalización Medicina Interna",Hospitalización!$BA$3:$BA$500,"SÍ")</f>
        <v>7</v>
      </c>
      <c r="E28" s="23">
        <f>COUNTIFS(Hospitalización!$M$3:$M$500,"Hospitalización Pediatría",Hospitalización!$BA$3:$BA$500,"SÍ")</f>
        <v>7</v>
      </c>
      <c r="F28" s="23">
        <f>COUNTIFS(Hospitalización!$M$3:$M$500,"Hospitalización QuiRurgicas",Hospitalización!$BA$3:$BA$500,"SÍ")</f>
        <v>7</v>
      </c>
      <c r="G28" s="23">
        <f>COUNTIFS(Hospitalización!$M$3:$M$500,"Unidades de cuidados intensivos",Hospitalización!$BA$3:$BA$500,"SÍ")</f>
        <v>6</v>
      </c>
      <c r="H28" s="23">
        <f>COUNTIFS(Hospitalización!$M$3:$M$500,"Cirugía",Hospitalización!$BA$3:$BA$500,"SÍ")</f>
        <v>7</v>
      </c>
      <c r="I28" s="23">
        <f>SUM(B28:H28)</f>
        <v>48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General",Hospitalización!$BA$3:$BA$500,"no")</f>
        <v>0</v>
      </c>
      <c r="C29" s="23">
        <f>COUNTIFS(Hospitalización!$M$3:$M$500,"Hospitalización Ginecología",Hospitalización!$BA$3:$BA$500,"no")</f>
        <v>0</v>
      </c>
      <c r="D29" s="23">
        <f>COUNTIFS(Hospitalización!$M$3:$M$500,"Hospitalización Medicina Interna",Hospitalización!$BA$3:$BA$500,"no")</f>
        <v>0</v>
      </c>
      <c r="E29" s="23">
        <f>COUNTIFS(Hospitalización!$M$3:$M$500,"Hospitalización Pediatría",Hospitalización!$BA$3:$BA$500,"no")</f>
        <v>0</v>
      </c>
      <c r="F29" s="23">
        <f>COUNTIFS(Hospitalización!$M$3:$M$500,"Hospitalización Quirurgicas",Hospitalización!$BA$3:$BA$500,"no")</f>
        <v>0</v>
      </c>
      <c r="G29" s="23">
        <f>COUNTIFS(Hospitalización!$M$3:$M$500,"Unidades de cuidados intensivos",Hospitalización!$BA$3:$BA$500,"no")</f>
        <v>0</v>
      </c>
      <c r="H29" s="23">
        <f>COUNTIFS(Hospitalización!$M$3:$M$500,"Cirugía",Hospitalización!$BA$3:$BA$500,"no")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7</v>
      </c>
      <c r="E30" s="44">
        <f t="shared" si="4"/>
        <v>7</v>
      </c>
      <c r="F30" s="44">
        <f t="shared" si="4"/>
        <v>7</v>
      </c>
      <c r="G30" s="44">
        <f t="shared" si="4"/>
        <v>6</v>
      </c>
      <c r="H30" s="44">
        <f t="shared" si="4"/>
        <v>7</v>
      </c>
      <c r="I30" s="44">
        <f t="shared" si="4"/>
        <v>48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0:11">
      <c r="K34" t="s">
        <v>15</v>
      </c>
    </row>
    <row r="35" spans="10:11">
      <c r="J35" s="42"/>
      <c r="K35" s="4" t="s">
        <v>8</v>
      </c>
    </row>
    <row r="36" spans="10:11">
      <c r="J36" s="17" t="s">
        <v>216</v>
      </c>
      <c r="K36" s="45">
        <f>+G28/G30</f>
        <v>1</v>
      </c>
    </row>
    <row r="37" spans="10:11">
      <c r="J37" s="17" t="s">
        <v>217</v>
      </c>
      <c r="K37" s="45">
        <f>+G29/G30</f>
        <v>0</v>
      </c>
    </row>
    <row r="38" spans="10:11">
      <c r="J38" s="43"/>
      <c r="K38" s="45">
        <f>SUM(K36:K37)</f>
        <v>1</v>
      </c>
    </row>
  </sheetData>
  <mergeCells count="4">
    <mergeCell ref="B3:H3"/>
    <mergeCell ref="K3:P3"/>
    <mergeCell ref="B26:I26"/>
    <mergeCell ref="L26:R26"/>
  </mergeCell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66FF"/>
  </sheetPr>
  <dimension ref="A2:K35"/>
  <sheetViews>
    <sheetView workbookViewId="0">
      <selection activeCell="C8" sqref="C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16" t="s">
        <v>281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B3" s="1"/>
      <c r="C3" s="2"/>
    </row>
    <row r="6" spans="1:10" ht="21.75" customHeight="1">
      <c r="B6" s="228" t="s">
        <v>1</v>
      </c>
      <c r="C6" s="228"/>
      <c r="D6" s="228"/>
      <c r="E6" s="228"/>
      <c r="F6" s="228"/>
      <c r="G6" s="228"/>
      <c r="H6" s="228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Patología",Ambulatorio!$BO$73:$BO$483,"Sí")</f>
        <v>0</v>
      </c>
      <c r="C8" s="6">
        <f>COUNTIFS(Ambulatorio!$M$73:$M$483,"Ayudas Diagnósticas RX - TAC",Ambulatorio!$BO$73:$BO$483,"Sí")</f>
        <v>0</v>
      </c>
      <c r="D8" s="6">
        <f>COUNTIFS(Ambulatorio!$M$73:$M$483,"Ayudas Diagnósticas Servicios Complementarios",Ambulatorio!$BO$73:$BO$483,"Sí")</f>
        <v>0</v>
      </c>
      <c r="E8" s="6">
        <f>COUNTIFS(Ambulatorio!$M$73:$M$483,"Citas Médicas- Facturación",Ambulatorio!$BO$73:$BO$483,"Sí")</f>
        <v>0</v>
      </c>
      <c r="F8" s="6">
        <f>COUNTIFS(Ambulatorio!$M$73:$M$483,"terapias",Ambulatorio!$BO$73:$BO$483,"Sí")</f>
        <v>0</v>
      </c>
      <c r="G8" s="6">
        <f>COUNTIFS(Ambulatorio!$M$73:$M$483,"Urgencias",Ambulatorio!$BO$73:$BO$483,"SI")</f>
        <v>0</v>
      </c>
      <c r="H8" s="6">
        <f>SUM(B8:G8)</f>
        <v>0</v>
      </c>
    </row>
    <row r="9" spans="1:10">
      <c r="A9" s="7" t="s">
        <v>217</v>
      </c>
      <c r="B9" s="6">
        <f>COUNTIFS(Ambulatorio!$M$73:$M$483,"Ayudas Diagnósticas Laboratorio y Patología",Ambulatorio!$BO$73:$BO$483,"NO")</f>
        <v>16</v>
      </c>
      <c r="C9" s="6">
        <f>COUNTIFS(Ambulatorio!$M$73:$M$483,"Ayudas Diagnósticas RX - TAC",Ambulatorio!$BO$73:$BO$483,"NO")</f>
        <v>18</v>
      </c>
      <c r="D9" s="6">
        <f>COUNTIFS(Ambulatorio!$M$73:$M$483,"Ayudas Diagnósticas Servicios Complementarios",Ambulatorio!$BO$73:$BO$483,"NO")</f>
        <v>30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95</v>
      </c>
      <c r="H9" s="6">
        <f>SUM(B9:G9)</f>
        <v>159</v>
      </c>
    </row>
    <row r="10" spans="1:10">
      <c r="A10" s="8" t="s">
        <v>13</v>
      </c>
      <c r="B10" s="9">
        <f t="shared" ref="B10:G10" si="0">SUM(B8:B9)</f>
        <v>16</v>
      </c>
      <c r="C10" s="9">
        <f t="shared" si="0"/>
        <v>18</v>
      </c>
      <c r="D10" s="9">
        <f t="shared" si="0"/>
        <v>30</v>
      </c>
      <c r="E10" s="9">
        <f t="shared" si="0"/>
        <v>0</v>
      </c>
      <c r="F10" s="9">
        <f t="shared" si="0"/>
        <v>0</v>
      </c>
      <c r="G10" s="9">
        <f t="shared" si="0"/>
        <v>95</v>
      </c>
      <c r="H10" s="10">
        <f>SUM(B10:G10)</f>
        <v>159</v>
      </c>
    </row>
    <row r="11" spans="1:10">
      <c r="B11" s="11"/>
      <c r="C11" s="11"/>
      <c r="D11" s="11"/>
      <c r="H11" s="12">
        <f>COUNTA(Ambulatorio!M73:M483)</f>
        <v>294</v>
      </c>
    </row>
    <row r="13" spans="1:10" ht="15" customHeight="1">
      <c r="B13" s="228" t="s">
        <v>1</v>
      </c>
      <c r="C13" s="228"/>
      <c r="D13" s="228"/>
      <c r="E13" s="228"/>
      <c r="F13" s="228"/>
      <c r="G13" s="228"/>
      <c r="H13" s="228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</row>
    <row r="15" spans="1:10">
      <c r="A15" s="5" t="s">
        <v>254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General",Hospitalización!$AV$3:$AV$500,"SI")</f>
        <v>0</v>
      </c>
      <c r="C22" s="6">
        <f>COUNTIFS(Hospitalización!$M$3:$M$500,"Hospitalización Ginecología",Hospitalización!$AV$3:$AV$500,"SI")</f>
        <v>0</v>
      </c>
      <c r="D22" s="6">
        <f>COUNTIFS(Hospitalización!$M$3:$M$500,"Hospitalización Medicina Interna",Hospitalización!$AV$3:$AV$500,"SI")</f>
        <v>0</v>
      </c>
      <c r="E22" s="6">
        <f>COUNTIFS(Hospitalización!$M$3:$M$500,"Hospitalización Pediatría",Hospitalización!$AV$3:$AV$500,"SI")</f>
        <v>0</v>
      </c>
      <c r="F22" s="6">
        <f>COUNTIFS(Hospitalización!$M$3:$M$500,"Hospitalización Quirurgicas",Hospitalización!$AV$3:$AV$500,"SI")</f>
        <v>0</v>
      </c>
      <c r="G22" s="6">
        <f>COUNTIFS(Hospitalización!$M$3:$M$500,"Unidades de cuidados intensivos",Hospitalización!$AV$3:$AV$500,"SI")</f>
        <v>0</v>
      </c>
      <c r="H22" s="6">
        <f>COUNTIFS(Hospitalización!$M$3:$M$500,"Cirugía",Hospitalización!$AV$3:$AV$500,"SI")</f>
        <v>0</v>
      </c>
      <c r="I22" s="23">
        <f>SUM(B22:H22)</f>
        <v>0</v>
      </c>
      <c r="J22" s="15"/>
    </row>
    <row r="23" spans="1:11">
      <c r="A23" s="7" t="s">
        <v>217</v>
      </c>
      <c r="B23" s="6">
        <f>COUNTIFS(Hospitalización!$M$3:M$500,"Hospitalización General",Hospitalización!$AV$3:$AV$500,"NO")</f>
        <v>7</v>
      </c>
      <c r="C23" s="6">
        <f>COUNTIFS(Hospitalización!$M$3:$M$500,"Hospitalización Ginecología",Hospitalización!$AV$3:$AV$500,"NO")</f>
        <v>7</v>
      </c>
      <c r="D23" s="6">
        <f>COUNTIFS(Hospitalización!$M$3:$M$500,"Hospitalización Medicina Interna",Hospitalización!$AV$3:$AV$500,"NO")</f>
        <v>7</v>
      </c>
      <c r="E23" s="6">
        <f>COUNTIFS(Hospitalización!$M$3:$M$500,"Hospitalización Pediatría",Hospitalización!$AV$3:$AV$500,"NO")</f>
        <v>7</v>
      </c>
      <c r="F23" s="6">
        <f>COUNTIFS(Hospitalización!$M$3:$M$500,"Hospitalización Quirurgicas",Hospitalización!$AV$3:$AV$500,"NO")</f>
        <v>7</v>
      </c>
      <c r="G23" s="6">
        <f>COUNTIFS(Hospitalización!$M$3:$M$500,"Unidades de cuidados intensivos",Hospitalización!$AV$3:$AV$500,"NO")</f>
        <v>7</v>
      </c>
      <c r="H23" s="6">
        <f>COUNTIFS(Hospitalización!$M$3:$M$500,"Cirugía",Hospitalización!$AV$3:$AV$500,"NO")</f>
        <v>7</v>
      </c>
      <c r="I23" s="23">
        <f>SUM(B23:H23)</f>
        <v>49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7</v>
      </c>
      <c r="H24" s="17">
        <f t="shared" si="2"/>
        <v>7</v>
      </c>
      <c r="I24" s="17">
        <f t="shared" si="2"/>
        <v>49</v>
      </c>
      <c r="J24" s="24"/>
    </row>
    <row r="27" spans="1:11" ht="15" customHeight="1">
      <c r="B27" s="114" t="s">
        <v>15</v>
      </c>
      <c r="C27" s="115"/>
      <c r="D27" s="115"/>
      <c r="E27" s="115"/>
      <c r="F27" s="115"/>
      <c r="G27" s="115"/>
      <c r="H27" s="115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 ht="26.4">
      <c r="A29" s="5" t="s">
        <v>282</v>
      </c>
      <c r="B29" s="14">
        <f>(B22/B24)</f>
        <v>0</v>
      </c>
      <c r="C29" s="14">
        <f t="shared" ref="C29:H29" si="3">(C22/C24)</f>
        <v>0</v>
      </c>
      <c r="D29" s="14">
        <f t="shared" si="3"/>
        <v>0</v>
      </c>
      <c r="E29" s="14">
        <f t="shared" si="3"/>
        <v>0</v>
      </c>
      <c r="F29" s="14">
        <f t="shared" si="3"/>
        <v>0</v>
      </c>
      <c r="G29" s="14">
        <f t="shared" si="3"/>
        <v>0</v>
      </c>
      <c r="H29" s="14">
        <f t="shared" si="3"/>
        <v>0</v>
      </c>
      <c r="I29" s="14">
        <f>I22/I24</f>
        <v>0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H13"/>
    <mergeCell ref="B20:I20"/>
    <mergeCell ref="B27:H27"/>
  </mergeCell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CC"/>
  </sheetPr>
  <dimension ref="A2:I35"/>
  <sheetViews>
    <sheetView workbookViewId="0">
      <selection activeCell="G78" sqref="G7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6" width="13.88671875" customWidth="1"/>
    <col min="7" max="7" width="13.109375" customWidth="1"/>
    <col min="9" max="9" width="12.6640625" style="25" customWidth="1"/>
  </cols>
  <sheetData>
    <row r="2" spans="1:8" ht="24" customHeight="1">
      <c r="A2" s="116" t="s">
        <v>215</v>
      </c>
      <c r="B2" s="117"/>
      <c r="C2" s="117"/>
      <c r="D2" s="117"/>
      <c r="E2" s="117"/>
      <c r="F2" s="117"/>
      <c r="G2" s="117"/>
      <c r="H2" s="117"/>
    </row>
    <row r="3" spans="1:8">
      <c r="B3" s="1"/>
      <c r="C3" s="2"/>
    </row>
    <row r="6" spans="1:8" ht="21.75" customHeight="1">
      <c r="B6" s="118" t="s">
        <v>1</v>
      </c>
      <c r="C6" s="119"/>
      <c r="D6" s="119"/>
      <c r="E6" s="119"/>
      <c r="F6" s="119"/>
      <c r="G6" s="119"/>
      <c r="H6" s="120"/>
    </row>
    <row r="7" spans="1:8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3.65" customHeight="1">
      <c r="A8" s="5" t="s">
        <v>216</v>
      </c>
      <c r="B8" s="6">
        <f>COUNTIFS(Ambulatorio!$M$73:$M$483,"Ayudas Diagnósticas Laboratorio y Patología",Ambulatorio!$BQ$73:$BQ$483,"SI")</f>
        <v>20</v>
      </c>
      <c r="C8" s="6">
        <f>COUNTIFS(Ambulatorio!$M$73:$M$483,"Ayudas Diagnósticas RX - TAC",Ambulatorio!$BQ$73:$BQ$483,"SI")</f>
        <v>20</v>
      </c>
      <c r="D8" s="6">
        <f>COUNTIFS(Ambulatorio!$M$73:$M$483,"Ayudas Diagnósticas Servicios Complementarios",Ambulatorio!$BQ$73:$BQ$483,"SI")</f>
        <v>30</v>
      </c>
      <c r="E8" s="6">
        <f>COUNTIFS(Ambulatorio!$M$73:$M$483,"Citas Médicas- Facturación",Ambulatorio!$BQ$73:$BQ$483,"SI")</f>
        <v>0</v>
      </c>
      <c r="F8" s="6">
        <f>COUNTIFS(Ambulatorio!$M$73:$M$483,"terapias",Ambulatorio!$BQ$73:$BQ$483,"SI")</f>
        <v>0</v>
      </c>
      <c r="G8" s="6">
        <f>COUNTIFS(Ambulatorio!$M$73:$M$483,"Urgencias",Ambulatorio!$BQ$73:$BQ$483,"SI")</f>
        <v>97</v>
      </c>
      <c r="H8" s="6">
        <f>SUM(B8:G8)</f>
        <v>167</v>
      </c>
    </row>
    <row r="9" spans="1:8">
      <c r="A9" s="7" t="s">
        <v>217</v>
      </c>
      <c r="B9" s="6">
        <f>COUNTIFS(Ambulatorio!$M$73:$M$483,"Ayudas Diagnósticas Laboratorio y Patología",Ambulatorio!$BQ$73:$BQ$483,"no")</f>
        <v>0</v>
      </c>
      <c r="C9" s="6">
        <f>COUNTIFS(Ambulatorio!$M$73:$M$483,"Ayudas Diagnósticas RX - TAC",Ambulatorio!$BQ$73:$BQ$483,"NO")</f>
        <v>0</v>
      </c>
      <c r="D9" s="6">
        <f>COUNTIFS(Ambulatorio!$M$73:$M$483,"Ayudas Diagnósticas Servicios Complementarios",Ambulatorio!$BQ$73:$BQ$483,"NO")</f>
        <v>0</v>
      </c>
      <c r="E9" s="6">
        <f>COUNTIFS(Ambulatorio!$M$73:$M$483,"Citas Médicas- Facturación",Ambulatorio!$BQ$73:$BQ$483,"NO")</f>
        <v>0</v>
      </c>
      <c r="F9" s="6">
        <f>COUNTIFS(Ambulatorio!$M$73:$M$483,"terapias",Ambulatorio!$BQ$73:$BQ$483,"NO")</f>
        <v>0</v>
      </c>
      <c r="G9" s="6">
        <f>COUNTIFS(Ambulatorio!$M$73:$M$483,"Urgencias",Ambulatorio!$BQ$73:$BQ$483,"NO")</f>
        <v>0</v>
      </c>
      <c r="H9" s="6">
        <f>SUM(B9:G9)</f>
        <v>0</v>
      </c>
    </row>
    <row r="10" spans="1:8">
      <c r="A10" s="8" t="s">
        <v>13</v>
      </c>
      <c r="B10" s="9">
        <f t="shared" ref="B10:G10" si="0">SUM(B8:B9)</f>
        <v>20</v>
      </c>
      <c r="C10" s="9">
        <f t="shared" si="0"/>
        <v>20</v>
      </c>
      <c r="D10" s="9">
        <f t="shared" si="0"/>
        <v>30</v>
      </c>
      <c r="E10" s="9">
        <f t="shared" si="0"/>
        <v>0</v>
      </c>
      <c r="F10" s="9">
        <f t="shared" si="0"/>
        <v>0</v>
      </c>
      <c r="G10" s="9">
        <f t="shared" si="0"/>
        <v>97</v>
      </c>
      <c r="H10" s="10">
        <f>SUM(B10:G10)</f>
        <v>167</v>
      </c>
    </row>
    <row r="11" spans="1:8">
      <c r="B11" s="11"/>
      <c r="C11" s="11"/>
      <c r="D11" s="11"/>
      <c r="H11" s="12">
        <f>COUNTA(Ambulatorio!M73:M483)</f>
        <v>294</v>
      </c>
    </row>
    <row r="13" spans="1:8" ht="15" customHeight="1">
      <c r="B13" s="225" t="s">
        <v>1</v>
      </c>
      <c r="C13" s="226"/>
      <c r="D13" s="226"/>
      <c r="E13" s="226"/>
      <c r="F13" s="226"/>
      <c r="G13" s="227"/>
    </row>
    <row r="14" spans="1:8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4" t="s">
        <v>7</v>
      </c>
      <c r="H14" s="13"/>
    </row>
    <row r="15" spans="1:8">
      <c r="A15" s="5" t="s">
        <v>254</v>
      </c>
      <c r="B15" s="14">
        <f t="shared" ref="B15:G15" si="1">(B8/B10)</f>
        <v>1</v>
      </c>
      <c r="C15" s="14">
        <f t="shared" si="1"/>
        <v>1</v>
      </c>
      <c r="D15" s="14">
        <f t="shared" si="1"/>
        <v>1</v>
      </c>
      <c r="E15" s="14" t="e">
        <f t="shared" si="1"/>
        <v>#DIV/0!</v>
      </c>
      <c r="F15" s="14" t="e">
        <f t="shared" si="1"/>
        <v>#DIV/0!</v>
      </c>
      <c r="G15" s="14">
        <f t="shared" si="1"/>
        <v>1</v>
      </c>
      <c r="H15" s="15" t="e">
        <f>AVERAGE(B15:G15)</f>
        <v>#DIV/0!</v>
      </c>
    </row>
    <row r="20" spans="1:9" ht="15" customHeight="1">
      <c r="B20" s="224" t="s">
        <v>15</v>
      </c>
      <c r="C20" s="224"/>
      <c r="D20" s="224"/>
      <c r="E20" s="224"/>
      <c r="F20" s="224"/>
      <c r="G20" s="224"/>
      <c r="I20" s="21"/>
    </row>
    <row r="21" spans="1:9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</row>
    <row r="22" spans="1:9">
      <c r="A22" s="5" t="s">
        <v>216</v>
      </c>
      <c r="B22" s="6">
        <f>COUNTIFS(Hospitalización!$M$3:M$500,"Hospitalización General",Hospitalización!$AX$3:$AX$500,"SI")</f>
        <v>7</v>
      </c>
      <c r="C22" s="6">
        <f>COUNTIFS(Hospitalización!$M$3:$M$500,"Hospitalización Ginecología",Hospitalización!$AX$3:$AX$500,"SI")</f>
        <v>6</v>
      </c>
      <c r="D22" s="6">
        <f>COUNTIFS(Hospitalización!$M$3:$M$500,"Hospitalización Medicina Interna",Hospitalización!$AX$3:$AX$500,"SI")</f>
        <v>7</v>
      </c>
      <c r="E22" s="6">
        <f>COUNTIFS(Hospitalización!$M$3:$M$500,"Hospitalización Pediatría",Hospitalización!$AX$3:$AX$500,"SI")</f>
        <v>7</v>
      </c>
      <c r="F22" s="6">
        <f>COUNTIFS(Hospitalización!$M$3:$M$500,"Hospitalización Quirurgicas",Hospitalización!$AX$3:$AX$500,"SI")</f>
        <v>7</v>
      </c>
      <c r="G22" s="6">
        <f>COUNTIFS(Hospitalización!$M$3:$M$500,"Unidades de cuidados intensivos",Hospitalización!$AX$3:$AX$500,"SI")</f>
        <v>7</v>
      </c>
      <c r="H22" s="6">
        <f>COUNTIFS(Hospitalización!$M$3:$M$500,"Cirugía",Hospitalización!$AX$3:$AX$500,"SI")</f>
        <v>7</v>
      </c>
      <c r="I22" s="27">
        <f>SUM(B22:H22)</f>
        <v>48</v>
      </c>
    </row>
    <row r="23" spans="1:9">
      <c r="A23" s="7" t="s">
        <v>217</v>
      </c>
      <c r="B23" s="6">
        <f>COUNTIFS(Hospitalización!$M$3:M$500,"Hospitalización General",Hospitalización!$AX$3:$AX$500,"NO")</f>
        <v>0</v>
      </c>
      <c r="C23" s="6">
        <f>COUNTIFS(Hospitalización!$M$3:$M$500,"Hospitalización Ginecología",Hospitalización!$AX$3:$AX$500,"NO")</f>
        <v>0</v>
      </c>
      <c r="D23" s="6">
        <f>COUNTIFS(Hospitalización!$M$3:$M$500,"Hospitalización Medicina Interna",Hospitalización!$AX$3:$AX$500,"NO")</f>
        <v>0</v>
      </c>
      <c r="E23" s="6">
        <f>COUNTIFS(Hospitalización!$M$3:$M$500,"Hospitalización Pediatría",Hospitalización!$AX$3:$AX$500,"NO")</f>
        <v>0</v>
      </c>
      <c r="F23" s="6">
        <f>COUNTIFS(Hospitalización!$M$3:$M$500,"Hospitalización Quirurgicas",Hospitalización!$AX$3:$AX$500,"NO")</f>
        <v>0</v>
      </c>
      <c r="G23" s="6">
        <f>COUNTIFS(Hospitalización!$M$3:$M$500,"Unidades de cuidados intensivos",Hospitalización!$AX$3:$AX$500,"NO")</f>
        <v>0</v>
      </c>
      <c r="H23" s="6">
        <f>COUNTIFS(Hospitalización!$M$3:$M$500,"cirugía",Hospitalización!$AX$3:$AX$500,"NO")</f>
        <v>0</v>
      </c>
      <c r="I23" s="27">
        <f>SUM(B23:H23)</f>
        <v>0</v>
      </c>
    </row>
    <row r="24" spans="1:9">
      <c r="A24" s="8" t="s">
        <v>13</v>
      </c>
      <c r="B24" s="17">
        <f t="shared" ref="B24:I24" si="2">SUM(B22:B23)</f>
        <v>7</v>
      </c>
      <c r="C24" s="17">
        <f t="shared" si="2"/>
        <v>6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7</v>
      </c>
      <c r="H24" s="17">
        <f t="shared" si="2"/>
        <v>7</v>
      </c>
      <c r="I24" s="17">
        <f t="shared" si="2"/>
        <v>48</v>
      </c>
    </row>
    <row r="27" spans="1:9" ht="15" customHeight="1">
      <c r="B27" s="224" t="s">
        <v>15</v>
      </c>
      <c r="C27" s="224"/>
      <c r="D27" s="224"/>
      <c r="E27" s="224"/>
      <c r="F27" s="224"/>
    </row>
    <row r="28" spans="1:9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</row>
    <row r="29" spans="1:9">
      <c r="A29" s="5" t="s">
        <v>254</v>
      </c>
      <c r="B29" s="14">
        <f>(B22/B24)</f>
        <v>1</v>
      </c>
      <c r="C29" s="14">
        <f>(C22/C24)</f>
        <v>1</v>
      </c>
      <c r="D29" s="14">
        <f>(D22/D24)</f>
        <v>1</v>
      </c>
      <c r="E29" s="14">
        <f>(E22/E24)</f>
        <v>1</v>
      </c>
      <c r="F29" s="14">
        <f>(F22/F24)</f>
        <v>1</v>
      </c>
      <c r="G29" s="14">
        <f>+G22/G24</f>
        <v>1</v>
      </c>
      <c r="H29" s="14">
        <f>+H22/H24</f>
        <v>1</v>
      </c>
      <c r="I29" s="28">
        <f>AVERAGE(B29:G29)</f>
        <v>1</v>
      </c>
    </row>
    <row r="34" spans="1:2">
      <c r="A34" s="26" t="s">
        <v>1</v>
      </c>
      <c r="B34" s="18" t="e">
        <f>H15</f>
        <v>#DIV/0!</v>
      </c>
    </row>
    <row r="35" spans="1:2">
      <c r="A35" s="26" t="s">
        <v>15</v>
      </c>
      <c r="B35" s="18">
        <f>I29</f>
        <v>1</v>
      </c>
    </row>
  </sheetData>
  <mergeCells count="5">
    <mergeCell ref="A2:H2"/>
    <mergeCell ref="B6:H6"/>
    <mergeCell ref="B13:G13"/>
    <mergeCell ref="B20:G20"/>
    <mergeCell ref="B27:F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2:K35"/>
  <sheetViews>
    <sheetView workbookViewId="0">
      <selection activeCell="I29" sqref="I29"/>
    </sheetView>
  </sheetViews>
  <sheetFormatPr baseColWidth="10" defaultColWidth="11.33203125" defaultRowHeight="14.4"/>
  <cols>
    <col min="1" max="1" width="21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16" t="s">
        <v>283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Patología",Ambulatorio!$BO$73:$BO$483,"Si")</f>
        <v>0</v>
      </c>
      <c r="C8" s="6">
        <f>COUNTIFS(Ambulatorio!$M$73:$M$483,"Ayudas Diagnósticas RX - TAC",Ambulatorio!$BO$73:$BO$483,"SI")</f>
        <v>0</v>
      </c>
      <c r="D8" s="6">
        <f>COUNTIFS(Ambulatorio!$M$73:$M$483,"Ayudas Diagnósticas Servicios Complementarios",Ambulatorio!$BO$73:$BO$483,"SI")</f>
        <v>0</v>
      </c>
      <c r="E8" s="6">
        <f>COUNTIFS(Ambulatorio!$M$73:$M$483,"Citas Médicas- Facturación",Ambulatorio!$BO$73:$BO$483,"SI")</f>
        <v>0</v>
      </c>
      <c r="F8" s="6">
        <f>COUNTIFS(Ambulatorio!$M$73:$M$483,"Terapias",Ambulatorio!$BO$73:$BO$483,"SI")</f>
        <v>0</v>
      </c>
      <c r="G8" s="6">
        <f>COUNTIFS(Ambulatorio!$M$73:$M$483,"Urgencias",Ambulatorio!$BO$73:$BO$483,"SI")</f>
        <v>0</v>
      </c>
      <c r="H8" s="6">
        <f>SUM(B8:G8)</f>
        <v>0</v>
      </c>
    </row>
    <row r="9" spans="1:10">
      <c r="A9" s="7" t="s">
        <v>217</v>
      </c>
      <c r="B9" s="6">
        <f>COUNTIFS(Ambulatorio!$M$73:$M$483,"Ayudas Diagnósticas Laboratorio y Patología",Ambulatorio!$BO$73:$BO$483,"NO")</f>
        <v>16</v>
      </c>
      <c r="C9" s="6">
        <f>COUNTIFS(Ambulatorio!$M$73:$M$483,"Ayudas Diagnósticas RX - TAC",Ambulatorio!$BO$73:$BO$483,"NO")</f>
        <v>18</v>
      </c>
      <c r="D9" s="6">
        <f>COUNTIFS(Ambulatorio!$M$73:$M$483,"Ayudas Diagnósticas Servicios Complementarios",Ambulatorio!$BO$73:$BO$483,"NO")</f>
        <v>30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95</v>
      </c>
      <c r="H9" s="6">
        <f>SUM(B9:G9)</f>
        <v>159</v>
      </c>
    </row>
    <row r="10" spans="1:10">
      <c r="A10" s="8" t="s">
        <v>13</v>
      </c>
      <c r="B10" s="9">
        <f t="shared" ref="B10:G10" si="0">SUM(B8:B9)</f>
        <v>16</v>
      </c>
      <c r="C10" s="9">
        <f t="shared" si="0"/>
        <v>18</v>
      </c>
      <c r="D10" s="9">
        <f t="shared" si="0"/>
        <v>30</v>
      </c>
      <c r="E10" s="9">
        <f t="shared" si="0"/>
        <v>0</v>
      </c>
      <c r="F10" s="9">
        <f t="shared" si="0"/>
        <v>0</v>
      </c>
      <c r="G10" s="9">
        <f t="shared" si="0"/>
        <v>95</v>
      </c>
      <c r="H10" s="10">
        <f>SUM(B10:G10)</f>
        <v>159</v>
      </c>
    </row>
    <row r="11" spans="1:10">
      <c r="B11" s="11"/>
      <c r="C11" s="11"/>
      <c r="D11" s="11"/>
      <c r="H11" s="12">
        <f>COUNTA(Ambulatorio!M73:M483)</f>
        <v>294</v>
      </c>
    </row>
    <row r="13" spans="1:10" ht="21.15" customHeight="1">
      <c r="B13" s="159" t="s">
        <v>1</v>
      </c>
      <c r="C13" s="160"/>
      <c r="D13" s="160"/>
      <c r="E13" s="160"/>
      <c r="F13" s="160"/>
      <c r="G13" s="161"/>
      <c r="H13" s="2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  <c r="I14" s="13"/>
      <c r="J14" s="13"/>
    </row>
    <row r="15" spans="1:10">
      <c r="A15" s="5" t="s">
        <v>284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General",Hospitalización!$BE$3:$BE$500,"SI")</f>
        <v>7</v>
      </c>
      <c r="C22" s="6">
        <f>COUNTIFS(Hospitalización!$M$3:$M$500,"Hospitalización Ginecología",Hospitalización!$BE$3:$BE$500,"SI")</f>
        <v>7</v>
      </c>
      <c r="D22" s="6">
        <f>COUNTIFS(Hospitalización!$M$3:$M$500,"Hospitalización Medicina Interna",Hospitalización!$BE$3:$BE$500,"SI")</f>
        <v>7</v>
      </c>
      <c r="E22" s="6">
        <f>COUNTIFS(Hospitalización!$M$3:$M$500,"Hospitalización Pediatría",Hospitalización!$BE$3:$BE$500,"SI")</f>
        <v>7</v>
      </c>
      <c r="F22" s="6">
        <f>COUNTIFS(Hospitalización!$M$3:$M$500,"Hospitalización Quirurgicas",Hospitalización!$BE$3:$BE$500,"SI")</f>
        <v>7</v>
      </c>
      <c r="G22" s="6">
        <f>COUNTIFS(Hospitalización!$M$3:$M$500,"Unidades de cuidados intensivos",Hospitalización!$BE$3:$BE$500,"SI")</f>
        <v>7</v>
      </c>
      <c r="H22" s="6">
        <f>COUNTIFS(Hospitalización!$M$3:$M$500,"Cirugía",Hospitalización!$BE$3:$BE$500,"SI")</f>
        <v>7</v>
      </c>
      <c r="I22" s="23">
        <f>SUM(B22:H22)</f>
        <v>49</v>
      </c>
      <c r="J22" s="15"/>
    </row>
    <row r="23" spans="1:11">
      <c r="A23" s="7" t="s">
        <v>217</v>
      </c>
      <c r="B23" s="6">
        <f>COUNTIFS(Hospitalización!$M$3:M$500,"Hospitalización General",Hospitalización!$BE$3:$BE$500,"NO")</f>
        <v>0</v>
      </c>
      <c r="C23" s="6">
        <f>COUNTIFS(Hospitalización!$M$3:$M$500,"Hospitalización Ginecología",Hospitalización!$BE$3:$BE$500,"NO")</f>
        <v>0</v>
      </c>
      <c r="D23" s="6">
        <f>COUNTIFS(Hospitalización!$M$3:$M$500,"Hospitalización Medicina Interna",Hospitalización!$BE$3:$BE$500,"NO")</f>
        <v>0</v>
      </c>
      <c r="E23" s="6">
        <f>COUNTIFS(Hospitalización!$M$3:$M$500,"Hospitalización Pediatría",Hospitalización!$BE$3:$BE$500,"NO")</f>
        <v>0</v>
      </c>
      <c r="F23" s="6">
        <f>COUNTIFS(Hospitalización!$M$3:$M$500,"Hospitalización Quirurgicas",Hospitalización!$BE$3:$BE$500,"NO")</f>
        <v>0</v>
      </c>
      <c r="G23" s="6">
        <f>COUNTIFS(Hospitalización!$M$3:$M$500,"Unidades de cuidados intensivos",Hospitalización!$BE$3:$BE$500,"NO")</f>
        <v>0</v>
      </c>
      <c r="H23" s="6">
        <f>COUNTIFS(Hospitalización!$M$3:$M$500,"Cirugía",Hospitalización!$BE$3:$BE$500,"NO")</f>
        <v>0</v>
      </c>
      <c r="I23" s="23">
        <f>SUM(B23:H23)</f>
        <v>0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7</v>
      </c>
      <c r="G24" s="17">
        <f t="shared" si="2"/>
        <v>7</v>
      </c>
      <c r="H24" s="17">
        <f t="shared" si="2"/>
        <v>7</v>
      </c>
      <c r="I24" s="17">
        <f t="shared" si="2"/>
        <v>49</v>
      </c>
      <c r="J24" s="24"/>
    </row>
    <row r="27" spans="1:11" ht="15" customHeight="1">
      <c r="B27" s="114" t="s">
        <v>15</v>
      </c>
      <c r="C27" s="115"/>
      <c r="D27" s="115"/>
      <c r="E27" s="115"/>
      <c r="F27" s="115"/>
      <c r="G27" s="115"/>
      <c r="H27" s="115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>
      <c r="A29" s="5" t="s">
        <v>284</v>
      </c>
      <c r="B29" s="18">
        <f>(B22/B24)</f>
        <v>1</v>
      </c>
      <c r="C29" s="18">
        <f t="shared" ref="C29:H29" si="3">(C22/C24)</f>
        <v>1</v>
      </c>
      <c r="D29" s="18">
        <f t="shared" si="3"/>
        <v>1</v>
      </c>
      <c r="E29" s="18">
        <f t="shared" si="3"/>
        <v>1</v>
      </c>
      <c r="F29" s="18">
        <f t="shared" si="3"/>
        <v>1</v>
      </c>
      <c r="G29" s="18">
        <f t="shared" si="3"/>
        <v>1</v>
      </c>
      <c r="H29" s="18">
        <f t="shared" si="3"/>
        <v>1</v>
      </c>
      <c r="I29" s="18">
        <f>I22/I24</f>
        <v>1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G13"/>
    <mergeCell ref="B20:I20"/>
    <mergeCell ref="B27: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00"/>
  </sheetPr>
  <dimension ref="A2:L39"/>
  <sheetViews>
    <sheetView topLeftCell="A15" workbookViewId="0">
      <selection activeCell="I30" sqref="I30"/>
    </sheetView>
  </sheetViews>
  <sheetFormatPr baseColWidth="10" defaultColWidth="11.33203125" defaultRowHeight="14.4"/>
  <cols>
    <col min="1" max="1" width="27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13.109375" customWidth="1"/>
    <col min="12" max="12" width="4.88671875" customWidth="1"/>
  </cols>
  <sheetData>
    <row r="2" spans="1:11" ht="24" customHeigh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>
      <c r="B3" s="1"/>
      <c r="C3" s="2"/>
    </row>
    <row r="6" spans="1:11" ht="21.75" customHeight="1">
      <c r="B6" s="118" t="s">
        <v>1</v>
      </c>
      <c r="C6" s="119"/>
      <c r="D6" s="119"/>
      <c r="E6" s="119"/>
      <c r="F6" s="119"/>
      <c r="G6" s="119"/>
      <c r="H6" s="119"/>
      <c r="I6" s="120"/>
      <c r="J6" s="121"/>
      <c r="K6" s="121"/>
    </row>
    <row r="7" spans="1:11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334</v>
      </c>
      <c r="G7" s="3" t="s">
        <v>7</v>
      </c>
      <c r="H7" s="3" t="s">
        <v>433</v>
      </c>
      <c r="I7" s="3" t="s">
        <v>8</v>
      </c>
    </row>
    <row r="8" spans="1:11" ht="13.65" customHeight="1">
      <c r="A8" s="5" t="s">
        <v>9</v>
      </c>
      <c r="B8" s="6">
        <f>COUNTIFS(Ambulatorio!$M$3:$M$483,"Ayudas Diagnósticas Laboratorio y Patología",Ambulatorio!$BM$3:$BM$483,"7.1 Definitivamente SI")</f>
        <v>30</v>
      </c>
      <c r="C8" s="6">
        <f>COUNTIFS(Ambulatorio!$M$3:$M$483,"Ayudas Diagnósticas RX - TAC",Ambulatorio!$BM$3:$BM$483,"7.1 Definitivamente SI")</f>
        <v>31</v>
      </c>
      <c r="D8" s="6">
        <f>COUNTIFS(Ambulatorio!$M$3:$M$483,"Ayudas Diagnósticas Servicios Complementarios",Ambulatorio!$BM$3:$BM$483,"7.1 Definitivamente SI")</f>
        <v>39</v>
      </c>
      <c r="E8" s="6">
        <f>COUNTIFS(Ambulatorio!$M$3:$M$483,"Citas Médicas - Facturación",Ambulatorio!$BM$3:$BM$483,"7.1 Definitivamente SI")</f>
        <v>133</v>
      </c>
      <c r="F8" s="6">
        <f>COUNTIFS(Ambulatorio!$M$3:$M$483,"Terapia Física",Ambulatorio!$BM$3:$BM$483,"7.1 Definitivamente SI")</f>
        <v>7</v>
      </c>
      <c r="G8" s="6">
        <f>COUNTIFS(Ambulatorio!$M$3:$M$483,"Urgencias",Ambulatorio!$BM$3:$BM$483,"7.1 Definitivamente SI")</f>
        <v>122</v>
      </c>
      <c r="H8" s="6">
        <f>COUNTIFS(Ambulatorio!$M$3:$M$483,"Salud Familiar y comunitaria",Ambulatorio!$BM$3:$BM$483,"7.1 Definitivamente SI")</f>
        <v>0</v>
      </c>
      <c r="I8" s="6">
        <f>SUM(B8:H8)</f>
        <v>362</v>
      </c>
    </row>
    <row r="9" spans="1:11">
      <c r="A9" s="7" t="s">
        <v>10</v>
      </c>
      <c r="B9" s="6">
        <f>COUNTIFS(Ambulatorio!$M$3:$M$483,"Ayudas Diagnósticas Laboratorio y Patología",Ambulatorio!$BM$3:$BM$483,"7.2 Probablemente SI")</f>
        <v>1</v>
      </c>
      <c r="C9" s="6">
        <f>COUNTIFS(Ambulatorio!$M$3:$M$483,"Ayudas Diagnósticas RX - TAC",Ambulatorio!$BM$3:$BM$483,"7.2 Probablemente SI")</f>
        <v>0</v>
      </c>
      <c r="D9" s="6">
        <f>COUNTIFS(Ambulatorio!$M$3:$M$483,"Ayudas Diagnósticas Servicios Complementarios",Ambulatorio!$BM$3:$BM$483,"7.2 Probablemente SI")</f>
        <v>0</v>
      </c>
      <c r="E9" s="6">
        <f>COUNTIFS(Ambulatorio!$M$3:$M$483,"Citas Médicas - Facturación",Ambulatorio!$BM$3:$BM$483,"7.2 Probablemente SI")</f>
        <v>0</v>
      </c>
      <c r="F9" s="6">
        <f>COUNTIFS(Ambulatorio!$M$3:$M$483,"Terapia Física",Ambulatorio!$BM$3:$BM$483,"7.2 Probablemente SI")</f>
        <v>0</v>
      </c>
      <c r="G9" s="6">
        <f>COUNTIFS(Ambulatorio!$M$3:$M$483,"Urgencias",Ambulatorio!$BM$3:$BM$483,"7.2 Probablemente SI")</f>
        <v>1</v>
      </c>
      <c r="H9" s="6">
        <f>COUNTIFS(Ambulatorio!$M$3:$M$483,"Salud Familiar y comunitaria",Ambulatorio!$BM$3:$BM$483,"7.2 Probablemente SI")</f>
        <v>0</v>
      </c>
      <c r="I9" s="6">
        <f>SUM(B9:G9)</f>
        <v>2</v>
      </c>
    </row>
    <row r="10" spans="1:11">
      <c r="A10" s="5" t="s">
        <v>11</v>
      </c>
      <c r="B10" s="6">
        <f>COUNTIFS(Ambulatorio!$M$3:$M$483,"Ayudas Diagnósticas Laboratorio y Patología",Ambulatorio!$BM$3:$BM$483,"7.3 Definitivamente NO")</f>
        <v>0</v>
      </c>
      <c r="C10" s="6">
        <f>COUNTIFS(Ambulatorio!$M$3:$M$483,"Ayudas Diagnósticas RX - TAC",Ambulatorio!$BM$3:$BM$483,"7.3 Definitivamente NO")</f>
        <v>0</v>
      </c>
      <c r="D10" s="6">
        <f>COUNTIFS(Ambulatorio!$M$3:$M$483,"Ayudas Diagnósticas Servicios Complementarios",Ambulatorio!$BM$3:$BM$483,"7.3 Definitivamente NO")</f>
        <v>0</v>
      </c>
      <c r="E10" s="6">
        <f>COUNTIFS(Ambulatorio!$M$3:$M$483,"Citas Médicas - Facturación",Ambulatorio!$BM$3:$BM$483,"7.3 Definitivamente NO")</f>
        <v>0</v>
      </c>
      <c r="F10" s="6">
        <f>COUNTIFS(Ambulatorio!$M$3:$M$483,"Terapia Física",Ambulatorio!$BM$3:$BM$483,"7.3 Definitivamente NO")</f>
        <v>0</v>
      </c>
      <c r="G10" s="6">
        <f>COUNTIFS(Ambulatorio!$M$3:$M$483,"Urgencias",Ambulatorio!$BM$3:$BM$483,"7.3 Definitivamente NO")</f>
        <v>0</v>
      </c>
      <c r="H10" s="6">
        <f>COUNTIFS(Ambulatorio!$M$3:$M$483,"Salud Familiar y comunitaria",Ambulatorio!$BM$3:$BM$483,"7.3 Definitivamente NO")</f>
        <v>0</v>
      </c>
      <c r="I10" s="6">
        <f>SUM(B10:G10)</f>
        <v>0</v>
      </c>
    </row>
    <row r="11" spans="1:11">
      <c r="A11" s="7" t="s">
        <v>12</v>
      </c>
      <c r="B11" s="6">
        <f>COUNTIFS(Ambulatorio!$M$3:$M$483,"Ayudas Diagnósticas Laboratorio y Patología",Ambulatorio!$BM$3:$BM$483,"Probablemente NO")</f>
        <v>0</v>
      </c>
      <c r="C11" s="6">
        <f>COUNTIFS(Ambulatorio!$M$3:$M$483,"Ayudas Diagnósticas RX - TAC",Ambulatorio!$BM$3:$BM$483,"Probablemente NO")</f>
        <v>0</v>
      </c>
      <c r="D11" s="6">
        <f>COUNTIFS(Ambulatorio!$M$3:$M$483,"Ayudas Diagnósticas Servicios Complementarios",Ambulatorio!$BM$3:$BM$483,"Probablemente NO")</f>
        <v>0</v>
      </c>
      <c r="E11" s="6">
        <f>COUNTIFS(Ambulatorio!$M$3:$M$483,"Citas Médicas - Facturación",Ambulatorio!$BM$3:$BM$483,"Probablemente NO")</f>
        <v>0</v>
      </c>
      <c r="F11" s="6">
        <f>COUNTIFS(Ambulatorio!$M$3:$M$483,"Terapia Física",Ambulatorio!$BM$3:$BM$483,"Probablemente NO")</f>
        <v>0</v>
      </c>
      <c r="G11" s="6">
        <f>COUNTIFS(Ambulatorio!$M$3:$M$483,"Urgencias",Ambulatorio!$BM$3:$BM$483,"Probablemente NO")</f>
        <v>0</v>
      </c>
      <c r="H11" s="6">
        <f>COUNTIFS(Ambulatorio!$M$3:$M$483,"Salud Familiar y comunitaria",Ambulatorio!$BM$3:$BM$483,"Probablemente NO")</f>
        <v>0</v>
      </c>
      <c r="I11" s="6">
        <f>SUM(B11:G11)</f>
        <v>0</v>
      </c>
    </row>
    <row r="12" spans="1:11">
      <c r="A12" s="8" t="s">
        <v>13</v>
      </c>
      <c r="B12" s="9">
        <f t="shared" ref="B12:G12" si="0">SUM(B8:B11)</f>
        <v>31</v>
      </c>
      <c r="C12" s="9">
        <f t="shared" si="0"/>
        <v>31</v>
      </c>
      <c r="D12" s="9">
        <f t="shared" si="0"/>
        <v>39</v>
      </c>
      <c r="E12" s="9">
        <f t="shared" si="0"/>
        <v>133</v>
      </c>
      <c r="F12" s="9">
        <f>SUM(F8:F11)</f>
        <v>7</v>
      </c>
      <c r="G12" s="9">
        <f t="shared" si="0"/>
        <v>123</v>
      </c>
      <c r="H12" s="9">
        <f>SUM(H8:H11)</f>
        <v>0</v>
      </c>
      <c r="I12" s="10">
        <f>SUM(B12:H12)</f>
        <v>364</v>
      </c>
    </row>
    <row r="13" spans="1:11">
      <c r="B13" s="11"/>
      <c r="C13" s="11"/>
      <c r="D13" s="11"/>
      <c r="I13" s="12"/>
    </row>
    <row r="15" spans="1:11" ht="21.75" customHeight="1">
      <c r="B15" s="118" t="s">
        <v>1</v>
      </c>
      <c r="C15" s="119"/>
      <c r="D15" s="119"/>
      <c r="E15" s="119"/>
      <c r="F15" s="119"/>
      <c r="G15" s="119"/>
      <c r="H15" s="119"/>
      <c r="I15" s="120"/>
      <c r="J15" s="106"/>
    </row>
    <row r="16" spans="1:11" ht="24">
      <c r="B16" s="3" t="s">
        <v>2</v>
      </c>
      <c r="C16" s="3" t="s">
        <v>3</v>
      </c>
      <c r="D16" s="4" t="s">
        <v>4</v>
      </c>
      <c r="E16" s="3" t="s">
        <v>5</v>
      </c>
      <c r="F16" s="3" t="s">
        <v>6</v>
      </c>
      <c r="G16" s="4" t="s">
        <v>7</v>
      </c>
      <c r="H16" s="4" t="s">
        <v>341</v>
      </c>
      <c r="I16" s="4"/>
      <c r="K16" s="13"/>
    </row>
    <row r="17" spans="1:12">
      <c r="A17" s="5" t="s">
        <v>14</v>
      </c>
      <c r="B17" s="14">
        <f t="shared" ref="B17:G17" si="1">SUM(B8:B9)/B12</f>
        <v>1</v>
      </c>
      <c r="C17" s="14">
        <f t="shared" si="1"/>
        <v>1</v>
      </c>
      <c r="D17" s="14">
        <f t="shared" si="1"/>
        <v>1</v>
      </c>
      <c r="E17" s="14">
        <f>SUM(E8:E11)/E12</f>
        <v>1</v>
      </c>
      <c r="F17" s="14">
        <f>SUM(F8:F11)/F12</f>
        <v>1</v>
      </c>
      <c r="G17" s="14">
        <f t="shared" si="1"/>
        <v>1</v>
      </c>
      <c r="H17" s="14"/>
      <c r="I17" s="105">
        <f>AVERAGE(B17:G17)</f>
        <v>1</v>
      </c>
      <c r="K17" s="15"/>
    </row>
    <row r="21" spans="1:12">
      <c r="B21">
        <f>COUNTA(Hospitalización!A3:A500)</f>
        <v>49</v>
      </c>
    </row>
    <row r="22" spans="1:12" ht="15" customHeight="1">
      <c r="B22" s="114" t="s">
        <v>15</v>
      </c>
      <c r="C22" s="115"/>
      <c r="D22" s="115"/>
      <c r="E22" s="115"/>
      <c r="F22" s="115"/>
      <c r="G22" s="115"/>
      <c r="H22" s="115"/>
      <c r="I22" s="115"/>
      <c r="J22" s="115"/>
      <c r="L22" s="21"/>
    </row>
    <row r="23" spans="1:12" ht="36"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/>
      <c r="I23" s="3" t="s">
        <v>22</v>
      </c>
      <c r="J23" s="3" t="s">
        <v>8</v>
      </c>
      <c r="K23" s="22"/>
      <c r="L23" s="22"/>
    </row>
    <row r="24" spans="1:12">
      <c r="A24" s="5" t="s">
        <v>23</v>
      </c>
      <c r="B24" s="6">
        <f>COUNTIFS(Hospitalización!$M$3:M$500,"HOSPITALIZACIÓN GENERAL",Hospitalización!$AT$3:$AT$500,"Definitivamente SI")</f>
        <v>7</v>
      </c>
      <c r="C24" s="6">
        <f>COUNTIFS(Hospitalización!$M$3:$M$500,"Hospitalización Ginecología",Hospitalización!$AT$3:$AT$500,"Definitivamente SI")</f>
        <v>7</v>
      </c>
      <c r="D24" s="6">
        <f>COUNTIFS(Hospitalización!$M$3:$M$500,"Hospitalización Medicina Interna",Hospitalización!$AT$3:$AT$500,"Definitivamente SI")</f>
        <v>7</v>
      </c>
      <c r="E24" s="6">
        <f>COUNTIFS(Hospitalización!$M$3:$M$500,"Hospitalización Pediatría",Hospitalización!$AT$3:$AT$500,"Definitivamente SI")</f>
        <v>7</v>
      </c>
      <c r="F24" s="6">
        <f>COUNTIFS(Hospitalización!$M$3:$M$500,"Hospitalización Quirurgicas",Hospitalización!$AT$3:$AT$500,"Definitivamente SI")</f>
        <v>7</v>
      </c>
      <c r="G24" s="6">
        <f>COUNTIFS(Hospitalización!$M$3:$M$500,"Unidades de cuidados intensivos",Hospitalización!$AT$3:$AT$500,"Definitivamente SI")</f>
        <v>6</v>
      </c>
      <c r="H24" s="6"/>
      <c r="I24" s="6">
        <f>COUNTIFS(Hospitalización!$M$3:$M$500,"CIRUGÍA",Hospitalización!$AT$3:$AT$500,"Definitivamente SI")</f>
        <v>7</v>
      </c>
      <c r="J24" s="23">
        <f>SUM(B24:I24)</f>
        <v>48</v>
      </c>
      <c r="K24" s="15"/>
    </row>
    <row r="25" spans="1:12">
      <c r="A25" s="7" t="s">
        <v>24</v>
      </c>
      <c r="B25" s="6">
        <f>COUNTIFS(Hospitalización!$M$3:M$500,"Hospitalización General",Hospitalización!$AT$3:$AT$500,"Probablemente SI")</f>
        <v>0</v>
      </c>
      <c r="C25" s="6">
        <f>COUNTIFS(Hospitalización!$M$3:$M$500,"Hospitalización Ginecología",Hospitalización!$AT$3:$AT$500,"Probablemente SI")</f>
        <v>0</v>
      </c>
      <c r="D25" s="6">
        <f>COUNTIFS(Hospitalización!$M$3:$M$500,"Hospitalización Medicina Interna",Hospitalización!$AT$3:$AT$500,"Probablemente SI")</f>
        <v>0</v>
      </c>
      <c r="E25" s="6">
        <f>COUNTIFS(Hospitalización!$M$3:$M$500,"Hospitalización Pediatría",Hospitalización!$AT$3:$AT$500,"Probablemente SI")</f>
        <v>0</v>
      </c>
      <c r="F25" s="6">
        <f>COUNTIFS(Hospitalización!$M$3:$M$500,"Hospitalización Quirurgicas",Hospitalización!$AT$3:$AT$500,"Probablemente SI")</f>
        <v>0</v>
      </c>
      <c r="G25" s="6">
        <f>COUNTIFS(Hospitalización!$M$3:$M$500,"UNIDADES DE CUIDADOS INTENSIVOS",Hospitalización!$AT$3:$AT$500,"Probablemente SI")</f>
        <v>1</v>
      </c>
      <c r="H25" s="6"/>
      <c r="I25" s="6">
        <f>COUNTIFS(Hospitalización!$M$3:$M$500,"Hospitalización Quirurgicas",Hospitalización!$AT$3:$AT$500,"Probablemente SI")</f>
        <v>0</v>
      </c>
      <c r="J25" s="23">
        <f>SUM(B25:I25)</f>
        <v>1</v>
      </c>
      <c r="K25" s="15"/>
    </row>
    <row r="26" spans="1:12">
      <c r="A26" s="5" t="s">
        <v>25</v>
      </c>
      <c r="B26" s="6">
        <f>COUNTIFS(Hospitalización!$M$3:M$500,"Hospitalización General",Hospitalización!$AT$3:$AT$500,"Definitivamente NO")</f>
        <v>0</v>
      </c>
      <c r="C26" s="6">
        <f>COUNTIFS(Hospitalización!$M$3:$M$500,"Hospitalización Ginecología",Hospitalización!$AT$3:$AT$500,"Definitivamente NO")</f>
        <v>0</v>
      </c>
      <c r="D26" s="6">
        <f>COUNTIFS(Hospitalización!$M$3:$M$500,"Hospitalización Medicina Interna",Hospitalización!$AT$3:$AT$500,"Definitivamente NO")</f>
        <v>0</v>
      </c>
      <c r="E26" s="6">
        <f>COUNTIFS(Hospitalización!$M$3:$M$500,"Hospitalización Pediatría",Hospitalización!$AT$3:$AT$500,"Definitivamente NO")</f>
        <v>0</v>
      </c>
      <c r="F26" s="6">
        <f>COUNTIFS(Hospitalización!$M$3:$M$500,"Hospitalización Quirurgicas",Hospitalización!$AT$3:$AT$500,"Definitivamente NO")</f>
        <v>0</v>
      </c>
      <c r="G26" s="6">
        <f>COUNTIFS(Hospitalización!$M$3:$M$500,"Unidades de cuidados intensivos",Hospitalización!$AT$3:$AT$500,"Definitivamente NO")</f>
        <v>0</v>
      </c>
      <c r="H26" s="6"/>
      <c r="I26" s="6">
        <f>COUNTIFS(Hospitalización!$M$3:$M$500,"Hospitalización Quirurgicas",Hospitalización!$AT$3:$AT$500,"Definitivamente NO")</f>
        <v>0</v>
      </c>
      <c r="J26" s="23">
        <f>SUM(B26:I26)</f>
        <v>0</v>
      </c>
      <c r="K26" s="15"/>
    </row>
    <row r="27" spans="1:12">
      <c r="A27" s="7" t="s">
        <v>12</v>
      </c>
      <c r="B27" s="6">
        <f>COUNTIFS(Hospitalización!$M$3:M$500,"Hospitalización General",Hospitalización!$AT$3:$AT$500,"Probablemente NO")</f>
        <v>0</v>
      </c>
      <c r="C27" s="6">
        <f>COUNTIFS(Hospitalización!$M$3:$M$500,"Hospitalización Ginecología",Hospitalización!$AT$3:$AT$500,"Probablemente NO")</f>
        <v>0</v>
      </c>
      <c r="D27" s="6">
        <f>COUNTIFS(Hospitalización!$M$3:$M$500,"Hospitalización Medicina Interna",Hospitalización!$AT$3:$AT$500,"Probablemente NO")</f>
        <v>0</v>
      </c>
      <c r="E27" s="6">
        <f>COUNTIFS(Hospitalización!$M$3:$M$500,"Hospitalización Pediatría",Hospitalización!$AT$3:$AT$500,"Probablemente NO")</f>
        <v>0</v>
      </c>
      <c r="F27" s="6">
        <f>COUNTIFS(Hospitalización!$M$3:$M$500,"Hospitalización Quirurgicas",Hospitalización!$AT$3:$AT$500,"Probablemente NO")</f>
        <v>0</v>
      </c>
      <c r="G27" s="6">
        <f>COUNTIFS(Hospitalización!$M$3:$M$500,"Unidades de cuidados intensivos",Hospitalización!$AT$3:$AT$500,"Probablemente NO")</f>
        <v>0</v>
      </c>
      <c r="H27" s="6"/>
      <c r="I27" s="6">
        <f>COUNTIFS(Hospitalización!$M$3:$M$500,"Hospitalización Quirurgicas",Hospitalización!$AT$3:$AT$500,"Probablemente NO")</f>
        <v>0</v>
      </c>
      <c r="J27" s="23">
        <f>SUM(B27:I27)</f>
        <v>0</v>
      </c>
      <c r="K27" s="15"/>
    </row>
    <row r="28" spans="1:12">
      <c r="A28" s="8" t="s">
        <v>13</v>
      </c>
      <c r="B28" s="17">
        <f>SUM(B24:B27)</f>
        <v>7</v>
      </c>
      <c r="C28" s="17">
        <f t="shared" ref="C28:I28" si="2">SUM(C24:C27)</f>
        <v>7</v>
      </c>
      <c r="D28" s="17">
        <f t="shared" si="2"/>
        <v>7</v>
      </c>
      <c r="E28" s="17">
        <f t="shared" si="2"/>
        <v>7</v>
      </c>
      <c r="F28" s="17">
        <f t="shared" si="2"/>
        <v>7</v>
      </c>
      <c r="G28" s="17">
        <f t="shared" si="2"/>
        <v>7</v>
      </c>
      <c r="H28" s="17"/>
      <c r="I28" s="17">
        <f t="shared" si="2"/>
        <v>7</v>
      </c>
      <c r="J28" s="17">
        <f>SUM(J24:J27)</f>
        <v>49</v>
      </c>
    </row>
    <row r="31" spans="1:12" ht="15" customHeight="1">
      <c r="B31" s="114" t="s">
        <v>15</v>
      </c>
      <c r="C31" s="115"/>
      <c r="D31" s="115"/>
      <c r="E31" s="115"/>
      <c r="F31" s="115"/>
      <c r="G31" s="115"/>
      <c r="H31" s="115"/>
      <c r="I31" s="115"/>
    </row>
    <row r="32" spans="1:12" ht="36">
      <c r="B32" s="3" t="s">
        <v>16</v>
      </c>
      <c r="C32" s="3" t="s">
        <v>17</v>
      </c>
      <c r="D32" s="3" t="s">
        <v>18</v>
      </c>
      <c r="E32" s="3" t="s">
        <v>19</v>
      </c>
      <c r="F32" s="4" t="s">
        <v>20</v>
      </c>
      <c r="G32" s="3" t="s">
        <v>21</v>
      </c>
      <c r="H32" s="3"/>
      <c r="I32" s="3" t="s">
        <v>22</v>
      </c>
      <c r="J32" s="22"/>
      <c r="K32" s="13"/>
    </row>
    <row r="33" spans="1:11">
      <c r="A33" s="5" t="s">
        <v>14</v>
      </c>
      <c r="B33" s="14">
        <f>(B24+B25+B27)/B28</f>
        <v>1</v>
      </c>
      <c r="C33" s="14">
        <f t="shared" ref="C33:G33" si="3">(C24+C25)/C28</f>
        <v>1</v>
      </c>
      <c r="D33" s="14">
        <f>(D24+D25+D26+D27)/D28</f>
        <v>1</v>
      </c>
      <c r="E33" s="14">
        <f t="shared" si="3"/>
        <v>1</v>
      </c>
      <c r="F33" s="14">
        <f>(F24+F25+F26)/F28</f>
        <v>1</v>
      </c>
      <c r="G33" s="14">
        <f t="shared" si="3"/>
        <v>1</v>
      </c>
      <c r="H33" s="14"/>
      <c r="I33" s="14">
        <f>(I24+I25+I26)/I28</f>
        <v>1</v>
      </c>
      <c r="J33" s="107">
        <f>AVERAGE(B33:F33)</f>
        <v>1</v>
      </c>
      <c r="K33" s="11"/>
    </row>
    <row r="36" spans="1:11">
      <c r="A36" t="s">
        <v>26</v>
      </c>
    </row>
    <row r="38" spans="1:11">
      <c r="A38" s="26" t="s">
        <v>1</v>
      </c>
      <c r="B38" s="35">
        <f>I17</f>
        <v>1</v>
      </c>
    </row>
    <row r="39" spans="1:11">
      <c r="A39" s="26" t="s">
        <v>15</v>
      </c>
      <c r="B39" s="35">
        <f>J33</f>
        <v>1</v>
      </c>
    </row>
  </sheetData>
  <mergeCells count="6">
    <mergeCell ref="B31:I31"/>
    <mergeCell ref="A2:K2"/>
    <mergeCell ref="B6:I6"/>
    <mergeCell ref="J6:K6"/>
    <mergeCell ref="B15:I15"/>
    <mergeCell ref="B22:J22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2:T41"/>
  <sheetViews>
    <sheetView tabSelected="1" topLeftCell="A16" workbookViewId="0">
      <selection activeCell="K27" sqref="K27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7.33203125" customWidth="1"/>
    <col min="12" max="12" width="4.88671875" customWidth="1"/>
    <col min="13" max="13" width="14.33203125" customWidth="1"/>
    <col min="14" max="14" width="13.33203125" customWidth="1"/>
    <col min="15" max="15" width="13.6640625" customWidth="1"/>
    <col min="16" max="16" width="13.88671875" customWidth="1"/>
    <col min="17" max="17" width="13.33203125" customWidth="1"/>
    <col min="18" max="18" width="14.33203125" customWidth="1"/>
  </cols>
  <sheetData>
    <row r="2" spans="1:10" ht="21">
      <c r="A2" s="29" t="s">
        <v>273</v>
      </c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0"/>
      <c r="I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433</v>
      </c>
      <c r="I7" s="3" t="s">
        <v>8</v>
      </c>
    </row>
    <row r="8" spans="1:10" ht="13.65" customHeight="1">
      <c r="A8" s="5" t="s">
        <v>274</v>
      </c>
      <c r="B8" s="6">
        <f>COUNTIFS(Ambulatorio!$M$3:$M$483,"Ayudas Diagnósticas Laboratorio y Patología",Ambulatorio!$BS$3:$BS$483,5)</f>
        <v>31</v>
      </c>
      <c r="C8" s="6">
        <f>COUNTIFS(Ambulatorio!$M$3:$M$483,"Ayudas Diagnósticas RX - TAC",Ambulatorio!$BS$3:$BS$483,5)</f>
        <v>31</v>
      </c>
      <c r="D8" s="6">
        <f>COUNTIFS(Ambulatorio!$M$3:$M$483,"Ayudas Diagnósticas Servicios Complementarios",Ambulatorio!$BS$3:$BS$483,5)</f>
        <v>39</v>
      </c>
      <c r="E8" s="6">
        <f>COUNTIFS(Ambulatorio!$M$3:$M$483,"Citas Médicas - Facturación",Ambulatorio!$BS$3:$BS$483,5)</f>
        <v>130</v>
      </c>
      <c r="F8" s="6">
        <f>COUNTIFS(Ambulatorio!$M$3:$M$483,"Terapia Física",Ambulatorio!$BS$3:$BS$483,5)</f>
        <v>7</v>
      </c>
      <c r="G8" s="6">
        <f>COUNTIFS(Ambulatorio!$M$3:$M$483,"Urgencias",Ambulatorio!$BS$3:$BS$483,5)</f>
        <v>4</v>
      </c>
      <c r="H8" s="6">
        <f>COUNTIFS(Ambulatorio!$M$3:$M$483,"Salud Familiar y comunitaria",Ambulatorio!$BS$3:$BS$483,5)</f>
        <v>0</v>
      </c>
      <c r="I8" s="6">
        <f>SUM(B8:H8)</f>
        <v>242</v>
      </c>
    </row>
    <row r="9" spans="1:10">
      <c r="A9" s="7" t="s">
        <v>275</v>
      </c>
      <c r="B9" s="6">
        <f>COUNTIFS(Ambulatorio!$M$3:$M$483,"Ayudas Diagnósticas Laboratorio y Patología",Ambulatorio!$BS$3:$BS$483,4)</f>
        <v>0</v>
      </c>
      <c r="C9" s="6">
        <f>COUNTIFS(Ambulatorio!$M$3:$M$483,"Ayudas Diagnósticas RX - TAC",Ambulatorio!$BS$3:$BS$483,4)</f>
        <v>0</v>
      </c>
      <c r="D9" s="6">
        <f>COUNTIFS(Ambulatorio!$M$3:$M$483,"Ayudas Diagnósticas Servicios Complementarios",Ambulatorio!$BS$3:$BS$483,4)</f>
        <v>0</v>
      </c>
      <c r="E9" s="6">
        <f>COUNTIFS(Ambulatorio!$M$3:$M$483,"Citas Médicas - Facturación",Ambulatorio!$BS$3:$BS$483,4)</f>
        <v>3</v>
      </c>
      <c r="F9" s="6">
        <f>COUNTIFS(Ambulatorio!$M$3:$M$483,"Terapia Física",Ambulatorio!$BS$3:$BS$483,4)</f>
        <v>0</v>
      </c>
      <c r="G9" s="6">
        <f>COUNTIFS(Ambulatorio!$M$3:$M$483,"Urgencias",Ambulatorio!$BS$3:$BS$483,4)</f>
        <v>119</v>
      </c>
      <c r="H9" s="6">
        <f>COUNTIFS(Ambulatorio!$M$3:$M$483,"Salud Familiar y comunitaria",Ambulatorio!$BS$3:$BS$483,4)</f>
        <v>0</v>
      </c>
      <c r="I9" s="6" t="e">
        <f>SUM(J6B9:H9)</f>
        <v>#NAME?</v>
      </c>
    </row>
    <row r="10" spans="1:10">
      <c r="A10" s="7" t="s">
        <v>276</v>
      </c>
      <c r="B10" s="6">
        <f>COUNTIFS(Ambulatorio!$M$3:$M$483,"Ayudas Diagnósticas Laboratorio y Patología",Ambulatorio!$BS$3:$BS$483,3)</f>
        <v>0</v>
      </c>
      <c r="C10" s="6">
        <f>COUNTIFS(Ambulatorio!$M$3:$M$483,"Ayudas Diagnósticas RX - TAC",Ambulatorio!$BS$3:$BS$483,3)</f>
        <v>0</v>
      </c>
      <c r="D10" s="6">
        <f>COUNTIFS(Ambulatorio!$M$3:$M$483,"Ayudas Diagnósticas Servicios Complementarios",Ambulatorio!$BS$3:$BS$483,3)</f>
        <v>0</v>
      </c>
      <c r="E10" s="6">
        <f>COUNTIFS(Ambulatorio!$M$3:$M$483,"Citas Médicas - Facturación",Ambulatorio!$BS$3:$BS$483,3)</f>
        <v>0</v>
      </c>
      <c r="F10" s="6">
        <f>COUNTIFS(Ambulatorio!$M$3:$M$483,"Terapia Física",Ambulatorio!$BS$3:$BS$483,3)</f>
        <v>0</v>
      </c>
      <c r="G10" s="6">
        <f>COUNTIFS(Ambulatorio!$M$3:$M$483,"Urgencias",Ambulatorio!$BS$3:$BS$483,3)</f>
        <v>0</v>
      </c>
      <c r="H10" s="6">
        <f>COUNTIFS(Ambulatorio!$M$3:$M$483,"Salud Familiar y comunitaria",Ambulatorio!$BS$3:$BS$483,3)</f>
        <v>0</v>
      </c>
      <c r="I10" s="6">
        <f>SUM(B10:H10)</f>
        <v>0</v>
      </c>
    </row>
    <row r="11" spans="1:10">
      <c r="A11" s="7" t="s">
        <v>277</v>
      </c>
      <c r="B11" s="6">
        <f>COUNTIFS(Ambulatorio!$M$3:$M$483,"Ayudas Diagnósticas Laboratorio y Patología",Ambulatorio!$BS$3:$BS$483,2)</f>
        <v>0</v>
      </c>
      <c r="C11" s="6">
        <f>COUNTIFS(Ambulatorio!$M$3:$M$483,"Ayudas Diagnósticas RX - TAC",Ambulatorio!$BS$3:$BS$483,2)</f>
        <v>0</v>
      </c>
      <c r="D11" s="6">
        <f>COUNTIFS(Ambulatorio!$M$3:$M$483,"Ayudas Diagnósticas Servicios Complementarios",Ambulatorio!$BS$3:$BS$483,2)</f>
        <v>0</v>
      </c>
      <c r="E11" s="6">
        <f>COUNTIFS(Ambulatorio!$M$3:$M$483,"Citas Médicas - Facturación",Ambulatorio!$BS$3:$BS$483,2)</f>
        <v>0</v>
      </c>
      <c r="F11" s="6">
        <f>COUNTIFS(Ambulatorio!$M$3:$M$483,"Terapia Física",Ambulatorio!$BS$3:$BS$483,2)</f>
        <v>0</v>
      </c>
      <c r="G11" s="6">
        <f>COUNTIFS(Ambulatorio!$M$3:$M$483,"Urgencias",Ambulatorio!$BS$3:$BS$483,2)</f>
        <v>0</v>
      </c>
      <c r="H11" s="6">
        <f>COUNTIFS(Ambulatorio!$M$3:$M$483,"Salud Familiar y comunitaria",Ambulatorio!$BS$3:$BS$483,2)</f>
        <v>0</v>
      </c>
      <c r="I11" s="6">
        <f>SUM(B11:G11)</f>
        <v>0</v>
      </c>
    </row>
    <row r="12" spans="1:10">
      <c r="A12" s="7" t="s">
        <v>278</v>
      </c>
      <c r="B12" s="6">
        <f>COUNTIFS(Ambulatorio!$M$3:$M$483,"Ayudas Diagnósticas Laboratorio y Patología",Ambulatorio!$BS$3:$BS$483,1)</f>
        <v>0</v>
      </c>
      <c r="C12" s="6">
        <f>COUNTIFS(Ambulatorio!$M$3:$M$483,"Rayox X - TAC",Ambulatorio!$BS$3:$BS$483,1)</f>
        <v>0</v>
      </c>
      <c r="D12" s="6">
        <f>COUNTIFS(Ambulatorio!$M$3:$M$483,"Ayudas Diagnósticas Servicios Complementarios",Ambulatorio!$BS$3:$BS$483,1)</f>
        <v>0</v>
      </c>
      <c r="E12" s="6">
        <f>COUNTIFS(Ambulatorio!$M$3:$M$483,"Citas Médicas - Facturación",Ambulatorio!$BS$3:$BS$483,1)</f>
        <v>0</v>
      </c>
      <c r="F12" s="6">
        <f>COUNTIFS(Ambulatorio!$M$3:$M$483,"Terapia Física",Ambulatorio!$BS$3:$BS$483,1)</f>
        <v>0</v>
      </c>
      <c r="G12" s="6">
        <f>COUNTIFS(Ambulatorio!$M$3:$M$483,"Urgencias",Ambulatorio!$BS$3:$BS$483,1)</f>
        <v>0</v>
      </c>
      <c r="H12" s="6">
        <f>COUNTIFS(Ambulatorio!$M$3:$M$483,"Salud Familiar y comunitaria",Ambulatorio!$BS$3:$BS$483,1)</f>
        <v>0</v>
      </c>
      <c r="I12" s="6">
        <f t="shared" ref="I12:I13" si="0">SUM(B12:G12)</f>
        <v>0</v>
      </c>
    </row>
    <row r="13" spans="1:10" ht="14.25" customHeight="1">
      <c r="A13" s="5" t="s">
        <v>279</v>
      </c>
      <c r="B13" s="30">
        <f>COUNTIFS(Ambulatorio!$M$3:$M$483,"Ayudas Diagnósticas Laboratorio y Patología",Ambulatorio!$BS$3:$BS$483,0)</f>
        <v>0</v>
      </c>
      <c r="C13" s="30">
        <f>COUNTIFS(Ambulatorio!$M$3:$M$483,"Ayudas Diagnósticas RX - TAC",Ambulatorio!$BS$3:$BS$483,0)</f>
        <v>0</v>
      </c>
      <c r="D13" s="30">
        <f>COUNTIFS(Ambulatorio!$M$3:$M$483,"Ayudas Diagnósticas Servicios Complementarios",Ambulatorio!$BS$3:$BS$483,0)</f>
        <v>0</v>
      </c>
      <c r="E13" s="30">
        <f>COUNTIFS(Ambulatorio!$M$3:$M$483,"Citas Médicas - Facturación",Ambulatorio!$BS$3:$BS$483,0)</f>
        <v>0</v>
      </c>
      <c r="F13" s="30">
        <f>COUNTIFS(Ambulatorio!$M$3:$M$483,"Terapia Física",Ambulatorio!$BS$3:$BS$483,0)</f>
        <v>0</v>
      </c>
      <c r="G13" s="30">
        <f>COUNTIFS(Ambulatorio!$M$3:$M$483,"Urgencias",Ambulatorio!$BS$3:$BS$483,N0.)</f>
        <v>0</v>
      </c>
      <c r="H13" s="30">
        <f>COUNTIFS(Ambulatorio!$M$3:$M$483,"Salud Familiar y comunitaria",Ambulatorio!$BS$3:$BS$483,N0.)</f>
        <v>0</v>
      </c>
      <c r="I13" s="30">
        <f t="shared" si="0"/>
        <v>0</v>
      </c>
    </row>
    <row r="14" spans="1:10">
      <c r="A14" s="8" t="s">
        <v>13</v>
      </c>
      <c r="B14" s="9">
        <f t="shared" ref="B14:H14" si="1">SUM(B8:B12)</f>
        <v>31</v>
      </c>
      <c r="C14" s="9">
        <f t="shared" si="1"/>
        <v>31</v>
      </c>
      <c r="D14" s="9">
        <f t="shared" si="1"/>
        <v>39</v>
      </c>
      <c r="E14" s="9">
        <f>SUM(E8:E12)</f>
        <v>133</v>
      </c>
      <c r="F14" s="9">
        <f t="shared" si="1"/>
        <v>7</v>
      </c>
      <c r="G14" s="9">
        <f t="shared" si="1"/>
        <v>123</v>
      </c>
      <c r="H14" s="9">
        <f t="shared" si="1"/>
        <v>0</v>
      </c>
      <c r="I14" s="10">
        <f>SUM(B14:H14)</f>
        <v>364</v>
      </c>
    </row>
    <row r="15" spans="1:10">
      <c r="B15" s="11"/>
      <c r="C15" s="11"/>
      <c r="D15" s="11"/>
      <c r="I15" s="12"/>
    </row>
    <row r="16" spans="1:10" ht="19.5" customHeight="1">
      <c r="B16" s="108" t="s">
        <v>1</v>
      </c>
      <c r="C16" s="109"/>
      <c r="D16" s="109"/>
      <c r="E16" s="109"/>
      <c r="F16" s="109"/>
      <c r="G16" s="109"/>
      <c r="H16" s="109"/>
      <c r="I16" s="110"/>
      <c r="J16" s="20"/>
    </row>
    <row r="17" spans="1:20" ht="24">
      <c r="B17" s="3" t="s">
        <v>2</v>
      </c>
      <c r="C17" s="3" t="s">
        <v>3</v>
      </c>
      <c r="D17" s="4" t="s">
        <v>4</v>
      </c>
      <c r="E17" s="3" t="s">
        <v>5</v>
      </c>
      <c r="F17" s="3" t="s">
        <v>6</v>
      </c>
      <c r="G17" s="4" t="s">
        <v>7</v>
      </c>
      <c r="H17" s="3" t="s">
        <v>341</v>
      </c>
      <c r="I17" s="4"/>
      <c r="K17" s="13"/>
    </row>
    <row r="18" spans="1:20">
      <c r="A18" s="5" t="s">
        <v>280</v>
      </c>
      <c r="B18" s="23">
        <f>+B8+B9</f>
        <v>31</v>
      </c>
      <c r="C18" s="23">
        <f>+C8+C9</f>
        <v>31</v>
      </c>
      <c r="D18" s="23">
        <f>+D8+D9</f>
        <v>39</v>
      </c>
      <c r="E18" s="23">
        <f>E8+E9+E10</f>
        <v>133</v>
      </c>
      <c r="F18" s="23">
        <f>+F8+F9+F10</f>
        <v>7</v>
      </c>
      <c r="G18" s="31">
        <f>+G8+G9</f>
        <v>123</v>
      </c>
      <c r="H18" s="31">
        <f>+H8+H9</f>
        <v>0</v>
      </c>
      <c r="I18" s="11">
        <f>SUM(B18:G18)</f>
        <v>364</v>
      </c>
    </row>
    <row r="19" spans="1:20">
      <c r="B19" s="162" t="s">
        <v>1</v>
      </c>
      <c r="C19" s="163"/>
      <c r="D19" s="163"/>
      <c r="E19" s="163"/>
      <c r="F19" s="163"/>
      <c r="G19" s="163"/>
      <c r="H19" s="163"/>
      <c r="I19" s="163"/>
    </row>
    <row r="20" spans="1:20" ht="24">
      <c r="B20" s="3" t="s">
        <v>2</v>
      </c>
      <c r="C20" s="3" t="s">
        <v>3</v>
      </c>
      <c r="D20" s="4" t="s">
        <v>4</v>
      </c>
      <c r="E20" s="3" t="s">
        <v>5</v>
      </c>
      <c r="F20" s="3" t="s">
        <v>6</v>
      </c>
      <c r="G20" s="4" t="s">
        <v>7</v>
      </c>
      <c r="H20" s="3" t="s">
        <v>341</v>
      </c>
    </row>
    <row r="21" spans="1:20">
      <c r="A21" s="32" t="s">
        <v>280</v>
      </c>
      <c r="B21" s="18">
        <f t="shared" ref="B21:H21" si="2">+B18/B14</f>
        <v>1</v>
      </c>
      <c r="C21" s="18">
        <f t="shared" si="2"/>
        <v>1</v>
      </c>
      <c r="D21" s="18">
        <f t="shared" si="2"/>
        <v>1</v>
      </c>
      <c r="E21" s="18">
        <f t="shared" si="2"/>
        <v>1</v>
      </c>
      <c r="F21" s="18">
        <f>+F18/F14</f>
        <v>1</v>
      </c>
      <c r="G21" s="18">
        <f t="shared" si="2"/>
        <v>1</v>
      </c>
      <c r="H21" s="18" t="e">
        <f t="shared" si="2"/>
        <v>#DIV/0!</v>
      </c>
      <c r="I21" s="113" t="e">
        <f>SUM(B21:H21)</f>
        <v>#DIV/0!</v>
      </c>
    </row>
    <row r="23" spans="1:20" ht="15" customHeight="1">
      <c r="B23" s="114" t="s">
        <v>15</v>
      </c>
      <c r="C23" s="115"/>
      <c r="D23" s="115"/>
      <c r="E23" s="115"/>
      <c r="F23" s="115"/>
      <c r="G23" s="115"/>
      <c r="H23" s="115"/>
      <c r="I23" s="115"/>
      <c r="L23" s="21"/>
      <c r="M23" s="2"/>
      <c r="N23" s="158"/>
      <c r="O23" s="158"/>
      <c r="P23" s="158"/>
      <c r="Q23" s="158"/>
      <c r="R23" s="158"/>
      <c r="S23" s="158"/>
      <c r="T23" s="158"/>
    </row>
    <row r="24" spans="1:20" ht="36">
      <c r="A24" s="33"/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8</v>
      </c>
      <c r="J24" s="22"/>
      <c r="K24" s="22"/>
      <c r="L24" s="2"/>
      <c r="M24" s="13"/>
      <c r="N24" s="13"/>
      <c r="O24" s="13"/>
      <c r="P24" s="13"/>
      <c r="Q24" s="13"/>
      <c r="R24" s="13"/>
      <c r="S24" s="13"/>
    </row>
    <row r="25" spans="1:20" ht="14.25" customHeight="1">
      <c r="A25" s="32" t="s">
        <v>274</v>
      </c>
      <c r="B25" s="23">
        <f>COUNTIFS(Hospitalización!$M$3:$M$500,"Hospitalización General",Hospitalización!$AZ$3:$AZ$500,"5")</f>
        <v>6</v>
      </c>
      <c r="C25" s="23">
        <f>COUNTIFS(Hospitalización!$M$3:$M$500,"Hospitalización Ginecología",Hospitalización!$AZ$3:$AZ$500,"5")</f>
        <v>7</v>
      </c>
      <c r="D25" s="23">
        <f>COUNTIFS(Hospitalización!$M$3:$M$500,"Hospitalización Medicina Interna",Hospitalización!$AZ$3:$AZ$500,"5")</f>
        <v>7</v>
      </c>
      <c r="E25" s="23">
        <f>COUNTIFS(Hospitalización!$M$3:$M$500,"Hospitalización Pediatría",Hospitalización!$AZ$3:$AZ$500,"5")</f>
        <v>7</v>
      </c>
      <c r="F25" s="23">
        <f>COUNTIFS(Hospitalización!$M$3:$M$500,"Hospitalización Quirurgicas",Hospitalización!$AZ$3:$AZ$500,"5")</f>
        <v>7</v>
      </c>
      <c r="G25" s="23">
        <f>COUNTIFS(Hospitalización!$M$3:$M$500,"Unidades de Cuidados Intensivos",Hospitalización!$AZ$3:$AZ$500,"5")</f>
        <v>7</v>
      </c>
      <c r="H25" s="23">
        <f>COUNTIFS(Hospitalización!$M$3:$M$500,"Cirugía",Hospitalización!$AZ$3:$AZ$500,"5")</f>
        <v>7</v>
      </c>
      <c r="I25" s="23">
        <f t="shared" ref="I25:I30" si="3">SUM(B25:H25)</f>
        <v>48</v>
      </c>
      <c r="J25" s="15"/>
      <c r="L25" s="37"/>
      <c r="M25" s="11"/>
      <c r="N25" s="11"/>
      <c r="O25" s="11"/>
      <c r="P25" s="11"/>
      <c r="Q25" s="11"/>
      <c r="R25" s="11"/>
      <c r="S25" s="11"/>
    </row>
    <row r="26" spans="1:20">
      <c r="A26" s="34" t="s">
        <v>275</v>
      </c>
      <c r="B26" s="23">
        <f>COUNTIFS(Hospitalización!$M$3:$M$500,"Hospitalización General",Hospitalización!$AZ$3:$AZ$500,"4")</f>
        <v>1</v>
      </c>
      <c r="C26" s="23">
        <f>COUNTIFS(Hospitalización!$M$3:$M$500,"Hospitalización Ginecología",Hospitalización!$AZ$3:$AZ$500,"4")</f>
        <v>0</v>
      </c>
      <c r="D26" s="23">
        <f>COUNTIFS(Hospitalización!$M$3:$M$500,"Hospitalización Medicina Interna",Hospitalización!$AZ$3:$AZ$500,"4")</f>
        <v>0</v>
      </c>
      <c r="E26" s="23">
        <f>COUNTIFS(Hospitalización!$M$3:$M$500,"Hospitalización Pediatría",Hospitalización!$AZ$3:$AZ$500,"4")</f>
        <v>0</v>
      </c>
      <c r="F26" s="23">
        <f>COUNTIFS(Hospitalización!$M$3:$M$500,"Hospitalización Quirurgicas",Hospitalización!$AZ$3:$AZ$500,"4")</f>
        <v>0</v>
      </c>
      <c r="G26" s="23">
        <f>COUNTIFS(Hospitalización!$M$3:$M$500,"Unidades de Cuidados Intensivos",Hospitalización!$AZ$3:$AZ$500,"4")</f>
        <v>0</v>
      </c>
      <c r="H26" s="23">
        <f>COUNTIFS(Hospitalización!$M$3:$M$500,"Cirugía",Hospitalización!$AZ$3:$AZ$500,"4")</f>
        <v>0</v>
      </c>
      <c r="I26" s="23">
        <f>SUM(B26:H26)</f>
        <v>1</v>
      </c>
      <c r="J26" s="15"/>
      <c r="L26" s="38"/>
      <c r="M26" s="11"/>
      <c r="N26" s="11"/>
      <c r="O26" s="11"/>
      <c r="P26" s="11"/>
      <c r="Q26" s="11"/>
      <c r="R26" s="11"/>
      <c r="S26" s="11"/>
    </row>
    <row r="27" spans="1:20">
      <c r="A27" s="34" t="s">
        <v>276</v>
      </c>
      <c r="B27" s="23">
        <f>COUNTIFS(Hospitalización!$M$3:$M$500,"Hospitalización General",Hospitalización!$AZ$3:$AZ$500,"3")</f>
        <v>0</v>
      </c>
      <c r="C27" s="23">
        <f>COUNTIFS(Hospitalización!$M$3:$M$500,"Hospitalización Ginecología",Hospitalización!$AZ$3:$AZ$500,"3")</f>
        <v>0</v>
      </c>
      <c r="D27" s="23">
        <f>COUNTIFS(Hospitalización!$M$3:$M$500,"Hospitalización Medicina Interna",Hospitalización!$AZ$3:$AZ$500,"3")</f>
        <v>0</v>
      </c>
      <c r="E27" s="23">
        <f>COUNTIFS(Hospitalización!$M$3:$M$500,"Hospitalización Pediatría",Hospitalización!$AZ$3:$AZ$500,"3")</f>
        <v>0</v>
      </c>
      <c r="F27" s="23">
        <f>COUNTIFS(Hospitalización!$M$3:$M$500,"Hospitalización Quirurgicas",Hospitalización!$AZ$3:$AZ$500,"3")</f>
        <v>0</v>
      </c>
      <c r="G27" s="23">
        <f>COUNTIFS(Hospitalización!$M$3:$M$500,"Unidades de Cuidados Intensivos",Hospitalización!$AZ$3:$AZ$500,"3")</f>
        <v>0</v>
      </c>
      <c r="H27" s="23">
        <f>COUNTIFS(Hospitalización!$M$3:$M$500,"Cirugía",Hospitalización!$AZ$3:$AZ$500,"3")</f>
        <v>0</v>
      </c>
      <c r="I27" s="23">
        <f t="shared" si="3"/>
        <v>0</v>
      </c>
      <c r="J27" s="15"/>
      <c r="L27" s="38"/>
      <c r="M27" s="11"/>
      <c r="N27" s="11"/>
      <c r="O27" s="11"/>
      <c r="P27" s="11"/>
      <c r="Q27" s="11"/>
      <c r="R27" s="11"/>
      <c r="S27" s="11"/>
    </row>
    <row r="28" spans="1:20">
      <c r="A28" s="34" t="s">
        <v>277</v>
      </c>
      <c r="B28" s="23">
        <f>COUNTIFS(Hospitalización!$M$3:$M$500,"Hospitalización General",Hospitalización!$AZ$3:$AZ$500,"2")</f>
        <v>0</v>
      </c>
      <c r="C28" s="23">
        <f>COUNTIFS(Hospitalización!$M$3:$M$500,"Hospitalización Ginecología",Hospitalización!$AZ$3:$AZ$500,"2")</f>
        <v>0</v>
      </c>
      <c r="D28" s="23">
        <f>COUNTIFS(Hospitalización!$M$3:$M$500,"Hospitalización Medicina Interna",Hospitalización!$AZ$3:$AZ$500,"2")</f>
        <v>0</v>
      </c>
      <c r="E28" s="23">
        <f>COUNTIFS(Hospitalización!$M$3:$M$500,"Hospitalización Pediatría",Hospitalización!$AZ$3:$AZ$500,"2")</f>
        <v>0</v>
      </c>
      <c r="F28" s="23">
        <f>COUNTIFS(Hospitalización!$M$3:$M$500,"Hospitalización Quirurgicas",Hospitalización!$AZ$3:$AZ$500,"2")</f>
        <v>0</v>
      </c>
      <c r="G28" s="23">
        <f>COUNTIFS(Hospitalización!$M$3:$M$500,"Unidades de Cuidados Intensivos",Hospitalización!$AZ$3:$AZ$500,"2")</f>
        <v>0</v>
      </c>
      <c r="H28" s="23">
        <f>COUNTIFS(Hospitalización!$M$3:$M$500,"Cirugía",Hospitalización!$AZ$3:$AZ$500,"2")</f>
        <v>0</v>
      </c>
      <c r="I28" s="23">
        <f t="shared" si="3"/>
        <v>0</v>
      </c>
      <c r="J28" s="15"/>
      <c r="L28" s="38"/>
      <c r="M28" s="11"/>
      <c r="N28" s="11"/>
      <c r="O28" s="11"/>
      <c r="P28" s="11"/>
      <c r="Q28" s="11"/>
      <c r="R28" s="11"/>
      <c r="S28" s="11"/>
    </row>
    <row r="29" spans="1:20">
      <c r="A29" s="34" t="s">
        <v>278</v>
      </c>
      <c r="B29" s="23">
        <f>COUNTIFS(Hospitalización!$M$3:$M$500,"Hospitalización General",Hospitalización!$AZ$3:$AZ$500,"1")</f>
        <v>0</v>
      </c>
      <c r="C29" s="23">
        <f>COUNTIFS(Hospitalización!$M$3:$M$500,"Hospitalización Ginecología",Hospitalización!$AZ$3:$AZ$500,"1")</f>
        <v>0</v>
      </c>
      <c r="D29" s="23">
        <f>COUNTIFS(Hospitalización!$M$3:$M$500,"Hospitalización Medicina Interna",Hospitalización!$AZ$3:$AZ$500,"1")</f>
        <v>0</v>
      </c>
      <c r="E29" s="23">
        <f>COUNTIFS(Hospitalización!$M$3:$M$500,"Hospitalización Pediatría",Hospitalización!$AZ$3:$AZ$500,"1")</f>
        <v>0</v>
      </c>
      <c r="F29" s="23">
        <f>COUNTIFS(Hospitalización!$M$3:$M$500,"Hospitalización Quirurgicas",Hospitalización!$AZ$3:$AZ$500,"1")</f>
        <v>0</v>
      </c>
      <c r="G29" s="23">
        <f>COUNTIFS(Hospitalización!$M$3:$M$500,"Unidades de Cuidados Intensivos",Hospitalización!$AZ$3:$AZ$500,"1")</f>
        <v>0</v>
      </c>
      <c r="H29" s="23">
        <f>COUNTIFS(Hospitalización!$M$3:$M$500,"Cirugía",Hospitalización!$AZ$3:$AZ$500,"1")</f>
        <v>0</v>
      </c>
      <c r="I29" s="23">
        <f t="shared" si="3"/>
        <v>0</v>
      </c>
      <c r="J29" s="15"/>
      <c r="L29" s="38"/>
      <c r="M29" s="11"/>
      <c r="N29" s="11"/>
      <c r="O29" s="11"/>
      <c r="P29" s="11"/>
      <c r="Q29" s="11"/>
      <c r="R29" s="11"/>
      <c r="S29" s="11"/>
    </row>
    <row r="30" spans="1:20">
      <c r="A30" s="32" t="s">
        <v>279</v>
      </c>
      <c r="B30" s="23">
        <f>COUNTIFS(Hospitalización!$M$3:$M$500,"Hospitalización General",Hospitalización!$AZ$3:$AZ$500,"0")</f>
        <v>0</v>
      </c>
      <c r="C30" s="23">
        <f>COUNTIFS(Hospitalización!$M$3:$M$500,"Hospitalización Ginecología",Hospitalización!$AZ$3:$AZ$500,"0")</f>
        <v>0</v>
      </c>
      <c r="D30" s="23">
        <f>COUNTIFS(Hospitalización!$M$3:$M$500,"Hospitalización Medicina Interna",Hospitalización!$AZ$3:$AZ$500,"0")</f>
        <v>0</v>
      </c>
      <c r="E30" s="23">
        <f>COUNTIFS(Hospitalización!$M$3:$M$500,"Hospitalización Pediatría",Hospitalización!$AZ$3:$AZ$500,"0")</f>
        <v>0</v>
      </c>
      <c r="F30" s="23">
        <f>COUNTIFS(Hospitalización!$M$3:$M$500,"Hospitalización Quirurgicas",Hospitalización!$AZ$3:$AZ$500,"0")</f>
        <v>0</v>
      </c>
      <c r="G30" s="23">
        <f>COUNTIFS(Hospitalización!$M$3:$M$500,"Unidades de Cuidados Intensivos",Hospitalización!$AZ$3:$AZ$500,"0")</f>
        <v>0</v>
      </c>
      <c r="H30" s="23">
        <f>COUNTIFS(Hospitalización!$M$3:$M$500,"Cirugía",Hospitalización!$AZ$3:$AZ$500,"0")</f>
        <v>0</v>
      </c>
      <c r="I30" s="23">
        <f t="shared" si="3"/>
        <v>0</v>
      </c>
      <c r="J30" s="15"/>
      <c r="L30" s="37"/>
      <c r="M30" s="11"/>
      <c r="N30" s="11"/>
      <c r="O30" s="11"/>
      <c r="P30" s="11"/>
      <c r="Q30" s="11"/>
      <c r="R30" s="11"/>
      <c r="S30" s="11"/>
    </row>
    <row r="31" spans="1:20">
      <c r="A31" s="8" t="s">
        <v>13</v>
      </c>
      <c r="B31" s="9">
        <f t="shared" ref="B31:H31" si="4">SUM(B25:B29)</f>
        <v>7</v>
      </c>
      <c r="C31" s="9">
        <f t="shared" si="4"/>
        <v>7</v>
      </c>
      <c r="D31" s="9">
        <f t="shared" si="4"/>
        <v>7</v>
      </c>
      <c r="E31" s="9">
        <f t="shared" si="4"/>
        <v>7</v>
      </c>
      <c r="F31" s="9">
        <f>SUM(F25:F29)</f>
        <v>7</v>
      </c>
      <c r="G31" s="9">
        <f t="shared" si="4"/>
        <v>7</v>
      </c>
      <c r="H31" s="9">
        <f t="shared" si="4"/>
        <v>7</v>
      </c>
      <c r="I31" s="39">
        <f>SUM(I25:I30)</f>
        <v>49</v>
      </c>
      <c r="J31" s="1"/>
      <c r="L31" s="40"/>
      <c r="M31" s="1"/>
      <c r="N31" s="1"/>
      <c r="O31" s="1"/>
      <c r="P31" s="1"/>
      <c r="Q31" s="1"/>
      <c r="R31" s="1"/>
      <c r="S31" s="1"/>
    </row>
    <row r="32" spans="1:20" ht="15" customHeight="1">
      <c r="B32" s="114" t="s">
        <v>15</v>
      </c>
      <c r="C32" s="115"/>
      <c r="D32" s="115"/>
      <c r="E32" s="115"/>
      <c r="F32" s="115"/>
      <c r="G32" s="115"/>
      <c r="H32" s="115"/>
      <c r="I32" s="115"/>
      <c r="M32" s="2"/>
      <c r="N32" s="158"/>
      <c r="O32" s="158"/>
      <c r="P32" s="158"/>
      <c r="Q32" s="158"/>
      <c r="R32" s="158"/>
    </row>
    <row r="33" spans="1:18" ht="36">
      <c r="B33" s="3" t="s">
        <v>16</v>
      </c>
      <c r="C33" s="3" t="s">
        <v>17</v>
      </c>
      <c r="D33" s="3" t="s">
        <v>18</v>
      </c>
      <c r="E33" s="3" t="s">
        <v>19</v>
      </c>
      <c r="F33" s="4" t="s">
        <v>20</v>
      </c>
      <c r="G33" s="3" t="s">
        <v>21</v>
      </c>
      <c r="H33" s="3"/>
      <c r="I33" s="3" t="s">
        <v>22</v>
      </c>
      <c r="J33" s="22"/>
      <c r="K33" s="13"/>
      <c r="M33" s="2"/>
      <c r="N33" s="13"/>
      <c r="O33" s="13"/>
      <c r="P33" s="13"/>
      <c r="Q33" s="13"/>
      <c r="R33" s="13"/>
    </row>
    <row r="34" spans="1:18">
      <c r="A34" s="5" t="s">
        <v>280</v>
      </c>
      <c r="B34" s="14">
        <f>(B25+B26+B27)/B31</f>
        <v>1</v>
      </c>
      <c r="C34" s="14">
        <f t="shared" ref="C34:G34" si="5">(C25+C26)/C31</f>
        <v>1</v>
      </c>
      <c r="D34" s="14">
        <f>(D25+D26+D27)/D31</f>
        <v>1</v>
      </c>
      <c r="E34" s="14">
        <f>(E25+E26)/E31</f>
        <v>1</v>
      </c>
      <c r="F34" s="14">
        <f>(F25+F26+F27)/F31</f>
        <v>1</v>
      </c>
      <c r="G34" s="14">
        <f t="shared" si="5"/>
        <v>1</v>
      </c>
      <c r="H34" s="14"/>
      <c r="I34" s="14">
        <f>(H25+H26+H27)/H31</f>
        <v>1</v>
      </c>
      <c r="J34" s="15">
        <f>AVERAGE(B34:I34)</f>
        <v>1</v>
      </c>
      <c r="K34" s="11"/>
      <c r="M34" s="37"/>
      <c r="N34" s="19"/>
      <c r="O34" s="19"/>
      <c r="P34" s="19"/>
      <c r="Q34" s="19"/>
      <c r="R34" s="19"/>
    </row>
    <row r="37" spans="1:18">
      <c r="A37" t="s">
        <v>26</v>
      </c>
    </row>
    <row r="39" spans="1:18">
      <c r="A39" s="26" t="s">
        <v>1</v>
      </c>
      <c r="B39" s="35">
        <f>+I18/I14</f>
        <v>1</v>
      </c>
    </row>
    <row r="40" spans="1:18">
      <c r="A40" s="26" t="s">
        <v>15</v>
      </c>
      <c r="B40" s="18">
        <f>J34</f>
        <v>1</v>
      </c>
    </row>
    <row r="41" spans="1:18">
      <c r="B41" s="36">
        <f>AVERAGE(B39:B40)</f>
        <v>1</v>
      </c>
    </row>
  </sheetData>
  <mergeCells count="6">
    <mergeCell ref="B32:I32"/>
    <mergeCell ref="N32:R32"/>
    <mergeCell ref="B6:I6"/>
    <mergeCell ref="B23:I23"/>
    <mergeCell ref="N23:T23"/>
    <mergeCell ref="B19:I1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3"/>
  <sheetViews>
    <sheetView workbookViewId="0">
      <selection activeCell="C2" sqref="C2"/>
    </sheetView>
  </sheetViews>
  <sheetFormatPr baseColWidth="10" defaultColWidth="11" defaultRowHeight="14.4"/>
  <cols>
    <col min="4" max="4" width="2.33203125" customWidth="1"/>
  </cols>
  <sheetData>
    <row r="2" spans="2:6">
      <c r="B2" t="s">
        <v>27</v>
      </c>
      <c r="C2">
        <f>COUNT(Ambulatorio!A73:A451)</f>
        <v>294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28</v>
      </c>
      <c r="C4" s="169"/>
      <c r="E4" s="169" t="s">
        <v>28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27" t="s">
        <v>32</v>
      </c>
      <c r="C6" s="27">
        <f>COUNTIF(Ambulatorio!$B$73:$B$451,"18-20")</f>
        <v>0</v>
      </c>
      <c r="D6" s="28"/>
      <c r="E6" s="27" t="s">
        <v>32</v>
      </c>
      <c r="F6" s="46">
        <f>+C6/$C$2</f>
        <v>0</v>
      </c>
    </row>
    <row r="7" spans="2:6">
      <c r="B7" s="27" t="s">
        <v>33</v>
      </c>
      <c r="C7" s="27">
        <f>COUNTIF(Ambulatorio!$B$73:$B$451,"21-25")</f>
        <v>10</v>
      </c>
      <c r="E7" s="27" t="s">
        <v>33</v>
      </c>
      <c r="F7" s="46">
        <f t="shared" ref="F7:F14" si="0">+C7/$C$2</f>
        <v>3.4013605442176874E-2</v>
      </c>
    </row>
    <row r="8" spans="2:6">
      <c r="B8" s="27" t="s">
        <v>34</v>
      </c>
      <c r="C8" s="27">
        <f>COUNTIF(Ambulatorio!$B$73:$B$451,"26-30")</f>
        <v>4</v>
      </c>
      <c r="E8" s="27" t="s">
        <v>34</v>
      </c>
      <c r="F8" s="46">
        <f t="shared" si="0"/>
        <v>1.3605442176870748E-2</v>
      </c>
    </row>
    <row r="9" spans="2:6">
      <c r="B9" s="27" t="s">
        <v>35</v>
      </c>
      <c r="C9" s="27">
        <f>COUNTIF(Ambulatorio!$B$73:$B$451,"31-35")</f>
        <v>7</v>
      </c>
      <c r="E9" s="27" t="s">
        <v>35</v>
      </c>
      <c r="F9" s="46">
        <f t="shared" si="0"/>
        <v>2.3809523809523808E-2</v>
      </c>
    </row>
    <row r="10" spans="2:6">
      <c r="B10" s="27" t="s">
        <v>36</v>
      </c>
      <c r="C10" s="27">
        <f>COUNTIF(Ambulatorio!$B$73:$B$451,"36-40")</f>
        <v>22</v>
      </c>
      <c r="E10" s="27" t="s">
        <v>36</v>
      </c>
      <c r="F10" s="46">
        <f t="shared" si="0"/>
        <v>7.4829931972789115E-2</v>
      </c>
    </row>
    <row r="11" spans="2:6">
      <c r="B11" s="27" t="s">
        <v>37</v>
      </c>
      <c r="C11" s="27">
        <f>COUNTIF(Ambulatorio!$B$73:$B$451,"41-45")</f>
        <v>0</v>
      </c>
      <c r="E11" s="27" t="s">
        <v>37</v>
      </c>
      <c r="F11" s="46">
        <f t="shared" si="0"/>
        <v>0</v>
      </c>
    </row>
    <row r="12" spans="2:6">
      <c r="B12" s="27" t="s">
        <v>38</v>
      </c>
      <c r="C12" s="27">
        <f>COUNTIF(Ambulatorio!$B$73:$B$451,"46-50")</f>
        <v>30</v>
      </c>
      <c r="E12" s="27" t="s">
        <v>38</v>
      </c>
      <c r="F12" s="46">
        <f t="shared" si="0"/>
        <v>0.10204081632653061</v>
      </c>
    </row>
    <row r="13" spans="2:6">
      <c r="B13" s="27" t="s">
        <v>39</v>
      </c>
      <c r="C13" s="27">
        <f>COUNTIF(Ambulatorio!$B$73:$B$451,"51-55")</f>
        <v>26</v>
      </c>
      <c r="E13" s="27" t="s">
        <v>39</v>
      </c>
      <c r="F13" s="46">
        <f t="shared" si="0"/>
        <v>8.8435374149659865E-2</v>
      </c>
    </row>
    <row r="14" spans="2:6">
      <c r="B14" s="27" t="s">
        <v>40</v>
      </c>
      <c r="C14" s="27">
        <f>COUNTIF(Ambulatorio!$B$73:$B$451,"56+")</f>
        <v>195</v>
      </c>
      <c r="E14" s="27" t="s">
        <v>40</v>
      </c>
      <c r="F14" s="46">
        <f t="shared" si="0"/>
        <v>0.66326530612244894</v>
      </c>
    </row>
    <row r="15" spans="2:6">
      <c r="C15" s="17">
        <f>SUM(C6:C14)</f>
        <v>294</v>
      </c>
    </row>
    <row r="21" spans="2:6">
      <c r="B21" t="s">
        <v>27</v>
      </c>
      <c r="C21" s="25">
        <f>COUNTA(Hospitalización!$A$3:$A$501)</f>
        <v>49</v>
      </c>
    </row>
    <row r="22" spans="2:6">
      <c r="B22" s="170" t="s">
        <v>15</v>
      </c>
      <c r="C22" s="170"/>
      <c r="D22" s="170"/>
      <c r="E22" s="170"/>
      <c r="F22" s="170"/>
    </row>
    <row r="23" spans="2:6">
      <c r="B23" s="171" t="s">
        <v>28</v>
      </c>
      <c r="C23" s="171"/>
      <c r="E23" s="171" t="s">
        <v>28</v>
      </c>
      <c r="F23" s="171"/>
    </row>
    <row r="24" spans="2:6">
      <c r="B24" s="101" t="s">
        <v>29</v>
      </c>
      <c r="C24" s="101" t="s">
        <v>30</v>
      </c>
      <c r="E24" s="101" t="s">
        <v>29</v>
      </c>
      <c r="F24" s="101" t="s">
        <v>31</v>
      </c>
    </row>
    <row r="25" spans="2:6">
      <c r="B25" s="27" t="s">
        <v>32</v>
      </c>
      <c r="C25" s="27">
        <f>COUNTIF(Hospitalización!$B$3:$B$501,"18-20")</f>
        <v>2</v>
      </c>
      <c r="D25" s="28"/>
      <c r="E25" s="27" t="s">
        <v>32</v>
      </c>
      <c r="F25" s="46">
        <f t="shared" ref="F25:F33" si="1">+C25/$C$21</f>
        <v>4.0816326530612242E-2</v>
      </c>
    </row>
    <row r="26" spans="2:6">
      <c r="B26" s="27" t="s">
        <v>33</v>
      </c>
      <c r="C26" s="27">
        <f>COUNTIF(Hospitalización!$B$3:$B$501,"21-25")</f>
        <v>1</v>
      </c>
      <c r="E26" s="27" t="s">
        <v>33</v>
      </c>
      <c r="F26" s="46">
        <f t="shared" si="1"/>
        <v>2.0408163265306121E-2</v>
      </c>
    </row>
    <row r="27" spans="2:6">
      <c r="B27" s="27" t="s">
        <v>34</v>
      </c>
      <c r="C27" s="27">
        <f>COUNTIF(Hospitalización!$B$3:$B$501,"26-30")</f>
        <v>4</v>
      </c>
      <c r="E27" s="27" t="s">
        <v>34</v>
      </c>
      <c r="F27" s="46">
        <f t="shared" si="1"/>
        <v>8.1632653061224483E-2</v>
      </c>
    </row>
    <row r="28" spans="2:6">
      <c r="B28" s="27" t="s">
        <v>35</v>
      </c>
      <c r="C28" s="27">
        <f>COUNTIF(Hospitalización!$B$3:$B$501,"31-35")</f>
        <v>6</v>
      </c>
      <c r="E28" s="27" t="s">
        <v>35</v>
      </c>
      <c r="F28" s="46">
        <f t="shared" si="1"/>
        <v>0.12244897959183673</v>
      </c>
    </row>
    <row r="29" spans="2:6">
      <c r="B29" s="27" t="s">
        <v>36</v>
      </c>
      <c r="C29" s="27">
        <f>COUNTIF(Hospitalización!$B$3:$B$501,"36-40")</f>
        <v>2</v>
      </c>
      <c r="E29" s="27" t="s">
        <v>36</v>
      </c>
      <c r="F29" s="46">
        <f t="shared" si="1"/>
        <v>4.0816326530612242E-2</v>
      </c>
    </row>
    <row r="30" spans="2:6">
      <c r="B30" s="27" t="s">
        <v>37</v>
      </c>
      <c r="C30" s="27">
        <f>COUNTIF(Hospitalización!$B$3:$B$501,"41-45")</f>
        <v>2</v>
      </c>
      <c r="E30" s="27" t="s">
        <v>37</v>
      </c>
      <c r="F30" s="46">
        <f t="shared" si="1"/>
        <v>4.0816326530612242E-2</v>
      </c>
    </row>
    <row r="31" spans="2:6">
      <c r="B31" s="27" t="s">
        <v>38</v>
      </c>
      <c r="C31" s="27">
        <f>COUNTIF(Hospitalización!$B$3:$B$501,"46-50")</f>
        <v>1</v>
      </c>
      <c r="E31" s="27" t="s">
        <v>38</v>
      </c>
      <c r="F31" s="46">
        <f t="shared" si="1"/>
        <v>2.0408163265306121E-2</v>
      </c>
    </row>
    <row r="32" spans="2:6">
      <c r="B32" s="27" t="s">
        <v>39</v>
      </c>
      <c r="C32" s="27">
        <f>COUNTIF(Hospitalización!$B$3:$B$501,"51-55")</f>
        <v>4</v>
      </c>
      <c r="E32" s="27" t="s">
        <v>39</v>
      </c>
      <c r="F32" s="46">
        <f t="shared" si="1"/>
        <v>8.1632653061224483E-2</v>
      </c>
    </row>
    <row r="33" spans="1:6">
      <c r="B33" s="27" t="s">
        <v>40</v>
      </c>
      <c r="C33" s="27">
        <f>COUNTIF(Hospitalización!$B$3:$B$501,"56+")</f>
        <v>27</v>
      </c>
      <c r="E33" s="27" t="s">
        <v>40</v>
      </c>
      <c r="F33" s="46">
        <f t="shared" si="1"/>
        <v>0.55102040816326525</v>
      </c>
    </row>
    <row r="34" spans="1:6">
      <c r="C34" s="17">
        <f>SUM(C25:C33)</f>
        <v>49</v>
      </c>
    </row>
    <row r="42" spans="1:6">
      <c r="A42" s="164" t="s">
        <v>41</v>
      </c>
      <c r="B42" s="164"/>
      <c r="C42" s="164"/>
    </row>
    <row r="43" spans="1:6">
      <c r="A43" s="165" t="s">
        <v>28</v>
      </c>
      <c r="B43" s="166"/>
      <c r="C43" s="167"/>
    </row>
    <row r="44" spans="1:6">
      <c r="A44" s="102" t="s">
        <v>29</v>
      </c>
      <c r="B44" s="103" t="s">
        <v>42</v>
      </c>
      <c r="C44" s="16" t="s">
        <v>43</v>
      </c>
    </row>
    <row r="45" spans="1:6">
      <c r="A45" s="44" t="s">
        <v>32</v>
      </c>
      <c r="B45" s="104">
        <f>F6</f>
        <v>0</v>
      </c>
      <c r="C45" s="46">
        <f>F25</f>
        <v>4.0816326530612242E-2</v>
      </c>
    </row>
    <row r="46" spans="1:6">
      <c r="A46" s="27" t="s">
        <v>33</v>
      </c>
      <c r="B46" s="104">
        <f t="shared" ref="B46:B53" si="2">F7</f>
        <v>3.4013605442176874E-2</v>
      </c>
      <c r="C46" s="46">
        <f t="shared" ref="C46:C53" si="3">F26</f>
        <v>2.0408163265306121E-2</v>
      </c>
    </row>
    <row r="47" spans="1:6">
      <c r="A47" s="27" t="s">
        <v>34</v>
      </c>
      <c r="B47" s="104">
        <f t="shared" si="2"/>
        <v>1.3605442176870748E-2</v>
      </c>
      <c r="C47" s="46">
        <f t="shared" si="3"/>
        <v>8.1632653061224483E-2</v>
      </c>
    </row>
    <row r="48" spans="1:6">
      <c r="A48" s="27" t="s">
        <v>35</v>
      </c>
      <c r="B48" s="104">
        <f t="shared" si="2"/>
        <v>2.3809523809523808E-2</v>
      </c>
      <c r="C48" s="46">
        <f t="shared" si="3"/>
        <v>0.12244897959183673</v>
      </c>
    </row>
    <row r="49" spans="1:3">
      <c r="A49" s="27" t="s">
        <v>36</v>
      </c>
      <c r="B49" s="104">
        <f t="shared" si="2"/>
        <v>7.4829931972789115E-2</v>
      </c>
      <c r="C49" s="46">
        <f t="shared" si="3"/>
        <v>4.0816326530612242E-2</v>
      </c>
    </row>
    <row r="50" spans="1:3">
      <c r="A50" s="27" t="s">
        <v>37</v>
      </c>
      <c r="B50" s="104">
        <f t="shared" si="2"/>
        <v>0</v>
      </c>
      <c r="C50" s="46">
        <f t="shared" si="3"/>
        <v>4.0816326530612242E-2</v>
      </c>
    </row>
    <row r="51" spans="1:3">
      <c r="A51" s="27" t="s">
        <v>38</v>
      </c>
      <c r="B51" s="104">
        <f t="shared" si="2"/>
        <v>0.10204081632653061</v>
      </c>
      <c r="C51" s="46">
        <f t="shared" si="3"/>
        <v>2.0408163265306121E-2</v>
      </c>
    </row>
    <row r="52" spans="1:3">
      <c r="A52" s="27" t="s">
        <v>39</v>
      </c>
      <c r="B52" s="104">
        <f t="shared" si="2"/>
        <v>8.8435374149659865E-2</v>
      </c>
      <c r="C52" s="46">
        <f t="shared" si="3"/>
        <v>8.1632653061224483E-2</v>
      </c>
    </row>
    <row r="53" spans="1:3">
      <c r="A53" s="27" t="s">
        <v>40</v>
      </c>
      <c r="B53" s="104">
        <f t="shared" si="2"/>
        <v>0.66326530612244894</v>
      </c>
      <c r="C53" s="46">
        <f t="shared" si="3"/>
        <v>0.55102040816326525</v>
      </c>
    </row>
  </sheetData>
  <mergeCells count="8">
    <mergeCell ref="A42:C42"/>
    <mergeCell ref="A43:C43"/>
    <mergeCell ref="B3:F3"/>
    <mergeCell ref="B4:C4"/>
    <mergeCell ref="E4:F4"/>
    <mergeCell ref="B22:F22"/>
    <mergeCell ref="B23:C23"/>
    <mergeCell ref="E23:F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workbookViewId="0">
      <selection activeCell="C13" sqref="C13"/>
    </sheetView>
  </sheetViews>
  <sheetFormatPr baseColWidth="10" defaultColWidth="11" defaultRowHeight="14.4"/>
  <cols>
    <col min="3" max="3" width="11.88671875" customWidth="1"/>
    <col min="4" max="4" width="2.33203125" customWidth="1"/>
  </cols>
  <sheetData>
    <row r="1" spans="2:6">
      <c r="B1" t="s">
        <v>27</v>
      </c>
      <c r="C1">
        <f>COUNT(Ambulatorio!A2:A450)</f>
        <v>364</v>
      </c>
    </row>
    <row r="2" spans="2:6">
      <c r="B2" s="168" t="s">
        <v>1</v>
      </c>
      <c r="C2" s="168"/>
      <c r="D2" s="168"/>
      <c r="E2" s="168"/>
      <c r="F2" s="168"/>
    </row>
    <row r="3" spans="2:6">
      <c r="B3" s="169" t="s">
        <v>44</v>
      </c>
      <c r="C3" s="169"/>
      <c r="E3" s="169" t="s">
        <v>44</v>
      </c>
      <c r="F3" s="169"/>
    </row>
    <row r="4" spans="2:6">
      <c r="B4" s="98" t="s">
        <v>29</v>
      </c>
      <c r="C4" s="98" t="s">
        <v>30</v>
      </c>
      <c r="E4" s="98" t="s">
        <v>29</v>
      </c>
      <c r="F4" s="98" t="s">
        <v>31</v>
      </c>
    </row>
    <row r="5" spans="2:6">
      <c r="B5" s="27" t="s">
        <v>45</v>
      </c>
      <c r="C5" s="27">
        <f>COUNTIF(Ambulatorio!$C$73:$C$451,"Femenino")</f>
        <v>221</v>
      </c>
      <c r="D5" s="28"/>
      <c r="E5" s="27" t="s">
        <v>45</v>
      </c>
      <c r="F5" s="46">
        <f>+C5/C1</f>
        <v>0.6071428571428571</v>
      </c>
    </row>
    <row r="6" spans="2:6">
      <c r="B6" s="27" t="s">
        <v>46</v>
      </c>
      <c r="C6" s="27">
        <f>COUNTIF(Ambulatorio!$C$73:$C$451,"Masculino")</f>
        <v>73</v>
      </c>
      <c r="E6" s="27" t="s">
        <v>46</v>
      </c>
      <c r="F6" s="46">
        <f>+C6/C1</f>
        <v>0.20054945054945056</v>
      </c>
    </row>
    <row r="7" spans="2:6">
      <c r="C7" s="17">
        <f>SUM(C5:C6)</f>
        <v>294</v>
      </c>
    </row>
    <row r="13" spans="2:6">
      <c r="B13" t="s">
        <v>27</v>
      </c>
      <c r="C13" s="25">
        <f>COUNTA(Hospitalización!$A$3:$A$501)</f>
        <v>49</v>
      </c>
    </row>
    <row r="14" spans="2:6">
      <c r="B14" s="170" t="s">
        <v>15</v>
      </c>
      <c r="C14" s="170"/>
      <c r="D14" s="170"/>
      <c r="E14" s="170"/>
      <c r="F14" s="170"/>
    </row>
    <row r="15" spans="2:6">
      <c r="B15" s="171" t="s">
        <v>44</v>
      </c>
      <c r="C15" s="171"/>
      <c r="E15" s="171" t="s">
        <v>44</v>
      </c>
      <c r="F15" s="171"/>
    </row>
    <row r="16" spans="2:6">
      <c r="B16" s="101" t="s">
        <v>29</v>
      </c>
      <c r="C16" s="101" t="s">
        <v>30</v>
      </c>
      <c r="E16" s="101" t="s">
        <v>29</v>
      </c>
      <c r="F16" s="101" t="s">
        <v>31</v>
      </c>
    </row>
    <row r="17" spans="1:6">
      <c r="B17" s="27" t="s">
        <v>45</v>
      </c>
      <c r="C17" s="27">
        <f>COUNTIF(Hospitalización!$C$3:$C$501,"femenino")</f>
        <v>28</v>
      </c>
      <c r="D17" s="28"/>
      <c r="E17" s="27" t="s">
        <v>45</v>
      </c>
      <c r="F17" s="46">
        <f>+C17/C19</f>
        <v>0.5714285714285714</v>
      </c>
    </row>
    <row r="18" spans="1:6">
      <c r="B18" s="27" t="s">
        <v>46</v>
      </c>
      <c r="C18" s="27">
        <f>COUNTIF(Hospitalización!$C$3:$C$501,"Masculino")</f>
        <v>21</v>
      </c>
      <c r="E18" s="27" t="s">
        <v>46</v>
      </c>
      <c r="F18" s="46">
        <f>+C18/C19</f>
        <v>0.42857142857142855</v>
      </c>
    </row>
    <row r="19" spans="1:6">
      <c r="C19" s="17">
        <f>SUM(C17:C18)</f>
        <v>49</v>
      </c>
    </row>
    <row r="27" spans="1:6">
      <c r="A27" s="164" t="s">
        <v>41</v>
      </c>
      <c r="B27" s="164"/>
      <c r="C27" s="164"/>
    </row>
    <row r="28" spans="1:6">
      <c r="A28" s="165" t="s">
        <v>28</v>
      </c>
      <c r="B28" s="166"/>
      <c r="C28" s="167"/>
    </row>
    <row r="29" spans="1:6">
      <c r="A29" s="102" t="s">
        <v>29</v>
      </c>
      <c r="B29" s="103" t="s">
        <v>42</v>
      </c>
      <c r="C29" s="16" t="s">
        <v>43</v>
      </c>
    </row>
    <row r="30" spans="1:6">
      <c r="A30" s="27" t="s">
        <v>45</v>
      </c>
      <c r="B30" s="104">
        <f>F5</f>
        <v>0.6071428571428571</v>
      </c>
      <c r="C30" s="46">
        <f>F17</f>
        <v>0.5714285714285714</v>
      </c>
    </row>
    <row r="31" spans="1:6">
      <c r="A31" s="27" t="s">
        <v>46</v>
      </c>
      <c r="B31" s="104">
        <f>F6</f>
        <v>0.20054945054945056</v>
      </c>
      <c r="C31" s="46">
        <f>F18</f>
        <v>0.42857142857142855</v>
      </c>
    </row>
  </sheetData>
  <mergeCells count="8">
    <mergeCell ref="A27:C27"/>
    <mergeCell ref="A28:C28"/>
    <mergeCell ref="B2:F2"/>
    <mergeCell ref="B3:C3"/>
    <mergeCell ref="E3:F3"/>
    <mergeCell ref="B14:F14"/>
    <mergeCell ref="B15:C15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8"/>
  <sheetViews>
    <sheetView workbookViewId="0">
      <selection activeCell="E13" sqref="E13"/>
    </sheetView>
  </sheetViews>
  <sheetFormatPr baseColWidth="10" defaultColWidth="11" defaultRowHeight="14.4"/>
  <cols>
    <col min="1" max="1" width="15" customWidth="1"/>
    <col min="2" max="2" width="15.33203125" customWidth="1"/>
    <col min="4" max="4" width="2.33203125" customWidth="1"/>
    <col min="5" max="5" width="18" customWidth="1"/>
  </cols>
  <sheetData>
    <row r="2" spans="2:6">
      <c r="B2" t="s">
        <v>27</v>
      </c>
      <c r="C2">
        <f>COUNT(Ambulatorio!A73:A451)</f>
        <v>294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47</v>
      </c>
      <c r="C4" s="169"/>
      <c r="E4" s="169" t="s">
        <v>47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48</v>
      </c>
      <c r="C6" s="27">
        <f>COUNTIF(Ambulatorio!$D$73:$D$451,"Contributivo")</f>
        <v>174</v>
      </c>
      <c r="D6" s="28"/>
      <c r="E6" s="99" t="s">
        <v>48</v>
      </c>
      <c r="F6" s="46">
        <f>+C6/$C$2</f>
        <v>0.59183673469387754</v>
      </c>
    </row>
    <row r="7" spans="2:6">
      <c r="B7" s="99" t="s">
        <v>49</v>
      </c>
      <c r="C7" s="27">
        <f>COUNTIF(Ambulatorio!$D$73:$D$451,"especial")</f>
        <v>6</v>
      </c>
      <c r="E7" s="99" t="s">
        <v>49</v>
      </c>
      <c r="F7" s="46">
        <f>+C7/$C$2</f>
        <v>2.0408163265306121E-2</v>
      </c>
    </row>
    <row r="8" spans="2:6">
      <c r="B8" s="99" t="s">
        <v>50</v>
      </c>
      <c r="C8" s="27">
        <f>COUNTIF(Ambulatorio!$D$73:$D$451,"otro")</f>
        <v>0</v>
      </c>
      <c r="E8" s="99" t="s">
        <v>50</v>
      </c>
      <c r="F8" s="46">
        <f>+C8/$C$2</f>
        <v>0</v>
      </c>
    </row>
    <row r="9" spans="2:6">
      <c r="B9" s="99" t="s">
        <v>51</v>
      </c>
      <c r="C9" s="27">
        <f>COUNTIF(Ambulatorio!$D$73:$D$451,"Subsidiado")</f>
        <v>114</v>
      </c>
      <c r="E9" s="99" t="s">
        <v>51</v>
      </c>
      <c r="F9" s="46">
        <f>+C9/$C$2</f>
        <v>0.38775510204081631</v>
      </c>
    </row>
    <row r="10" spans="2:6">
      <c r="C10" s="17">
        <f>SUM(C6:C9)</f>
        <v>294</v>
      </c>
    </row>
    <row r="16" spans="2:6">
      <c r="B16" t="s">
        <v>27</v>
      </c>
      <c r="C16" s="25">
        <f>COUNTA(Hospitalización!$A$3:$A$501)</f>
        <v>49</v>
      </c>
    </row>
    <row r="17" spans="1:6">
      <c r="B17" s="170" t="s">
        <v>15</v>
      </c>
      <c r="C17" s="170"/>
      <c r="D17" s="170"/>
      <c r="E17" s="170"/>
      <c r="F17" s="170"/>
    </row>
    <row r="18" spans="1:6">
      <c r="B18" s="171" t="s">
        <v>47</v>
      </c>
      <c r="C18" s="171"/>
      <c r="E18" s="171" t="s">
        <v>47</v>
      </c>
      <c r="F18" s="171"/>
    </row>
    <row r="19" spans="1:6">
      <c r="B19" s="101" t="s">
        <v>29</v>
      </c>
      <c r="C19" s="101" t="s">
        <v>30</v>
      </c>
      <c r="E19" s="101" t="s">
        <v>29</v>
      </c>
      <c r="F19" s="101" t="s">
        <v>31</v>
      </c>
    </row>
    <row r="20" spans="1:6">
      <c r="B20" s="99" t="s">
        <v>48</v>
      </c>
      <c r="C20" s="27">
        <f>COUNTIF(Hospitalización!$D$3:$D$501,"Contributivo")</f>
        <v>23</v>
      </c>
      <c r="D20" s="28"/>
      <c r="E20" s="99" t="s">
        <v>48</v>
      </c>
      <c r="F20" s="46">
        <f>+C20/$C$24</f>
        <v>0.46938775510204084</v>
      </c>
    </row>
    <row r="21" spans="1:6">
      <c r="B21" s="99" t="s">
        <v>49</v>
      </c>
      <c r="C21" s="27">
        <f>COUNTIF(Hospitalización!$D$3:$D$501,"Especial")</f>
        <v>3</v>
      </c>
      <c r="E21" s="99" t="s">
        <v>49</v>
      </c>
      <c r="F21" s="46">
        <f>+C21/$C$24</f>
        <v>6.1224489795918366E-2</v>
      </c>
    </row>
    <row r="22" spans="1:6">
      <c r="B22" s="99" t="s">
        <v>50</v>
      </c>
      <c r="C22" s="27">
        <f>COUNTIF(Hospitalización!$D$3:$D$501,"Otro")</f>
        <v>0</v>
      </c>
      <c r="E22" s="99" t="s">
        <v>50</v>
      </c>
      <c r="F22" s="46">
        <f>+C22/$C$24</f>
        <v>0</v>
      </c>
    </row>
    <row r="23" spans="1:6">
      <c r="B23" s="99" t="s">
        <v>51</v>
      </c>
      <c r="C23" s="27">
        <f>COUNTIF(Hospitalización!$D$3:$D$501,"Subsidiado")</f>
        <v>23</v>
      </c>
      <c r="E23" s="99" t="s">
        <v>51</v>
      </c>
      <c r="F23" s="46">
        <f>+C23/$C$24</f>
        <v>0.46938775510204084</v>
      </c>
    </row>
    <row r="24" spans="1:6">
      <c r="C24" s="17">
        <f>SUM(C20:C23)</f>
        <v>49</v>
      </c>
    </row>
    <row r="32" spans="1:6">
      <c r="A32" s="164" t="s">
        <v>41</v>
      </c>
      <c r="B32" s="164"/>
      <c r="C32" s="164"/>
    </row>
    <row r="33" spans="1:3">
      <c r="A33" s="165" t="s">
        <v>28</v>
      </c>
      <c r="B33" s="166"/>
      <c r="C33" s="167"/>
    </row>
    <row r="34" spans="1:3">
      <c r="A34" s="102" t="s">
        <v>29</v>
      </c>
      <c r="B34" s="103" t="s">
        <v>42</v>
      </c>
      <c r="C34" s="16" t="s">
        <v>43</v>
      </c>
    </row>
    <row r="35" spans="1:3">
      <c r="A35" s="99" t="s">
        <v>48</v>
      </c>
      <c r="B35" s="104">
        <f>F6</f>
        <v>0.59183673469387754</v>
      </c>
      <c r="C35" s="46">
        <f>F20</f>
        <v>0.46938775510204084</v>
      </c>
    </row>
    <row r="36" spans="1:3">
      <c r="A36" s="99" t="s">
        <v>49</v>
      </c>
      <c r="B36" s="104">
        <f>F7</f>
        <v>2.0408163265306121E-2</v>
      </c>
      <c r="C36" s="46">
        <f>F21</f>
        <v>6.1224489795918366E-2</v>
      </c>
    </row>
    <row r="37" spans="1:3">
      <c r="A37" s="99" t="s">
        <v>50</v>
      </c>
      <c r="B37" s="104">
        <f>F8</f>
        <v>0</v>
      </c>
      <c r="C37" s="46">
        <f>F22</f>
        <v>0</v>
      </c>
    </row>
    <row r="38" spans="1:3">
      <c r="A38" s="99" t="s">
        <v>51</v>
      </c>
      <c r="B38" s="104">
        <f>F9</f>
        <v>0.38775510204081631</v>
      </c>
      <c r="C38" s="46">
        <f>F23</f>
        <v>0.46938775510204084</v>
      </c>
    </row>
  </sheetData>
  <mergeCells count="8">
    <mergeCell ref="A32:C32"/>
    <mergeCell ref="A33:C33"/>
    <mergeCell ref="B3:F3"/>
    <mergeCell ref="B4:C4"/>
    <mergeCell ref="E4:F4"/>
    <mergeCell ref="B17:F17"/>
    <mergeCell ref="B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80"/>
  <sheetViews>
    <sheetView topLeftCell="A7" workbookViewId="0">
      <selection activeCell="B36" sqref="B36"/>
    </sheetView>
  </sheetViews>
  <sheetFormatPr baseColWidth="10" defaultColWidth="11" defaultRowHeight="14.4"/>
  <cols>
    <col min="1" max="2" width="23.88671875" customWidth="1"/>
    <col min="4" max="4" width="2.33203125" customWidth="1"/>
    <col min="5" max="5" width="24.33203125" customWidth="1"/>
  </cols>
  <sheetData>
    <row r="2" spans="2:6">
      <c r="B2" t="s">
        <v>27</v>
      </c>
      <c r="C2">
        <f>COUNT(Ambulatorio!A73:A483)</f>
        <v>294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52</v>
      </c>
      <c r="C4" s="169"/>
      <c r="E4" s="169" t="s">
        <v>52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53</v>
      </c>
      <c r="C6" s="27">
        <f>COUNTIF(Ambulatorio!$E$73:$E$483,"Asmetsalud")</f>
        <v>8</v>
      </c>
      <c r="D6" s="28"/>
      <c r="E6" s="99" t="s">
        <v>53</v>
      </c>
      <c r="F6" s="46">
        <f>+C6/$C$2</f>
        <v>2.7210884353741496E-2</v>
      </c>
    </row>
    <row r="7" spans="2:6" ht="14.25" customHeight="1">
      <c r="B7" s="100" t="s">
        <v>54</v>
      </c>
      <c r="C7" s="27">
        <f>COUNTIF(Ambulatorio!$E$73:$E$451,"Compensar")</f>
        <v>0</v>
      </c>
      <c r="E7" s="100" t="s">
        <v>54</v>
      </c>
      <c r="F7" s="46">
        <f t="shared" ref="F7:F21" si="0">+C7/$C$2</f>
        <v>0</v>
      </c>
    </row>
    <row r="8" spans="2:6">
      <c r="B8" s="99" t="s">
        <v>55</v>
      </c>
      <c r="C8" s="27">
        <f>COUNTIF(Ambulatorio!$E$73:$E$451,"Coomeva EPS")</f>
        <v>0</v>
      </c>
      <c r="E8" s="99" t="s">
        <v>55</v>
      </c>
      <c r="F8" s="46">
        <f t="shared" si="0"/>
        <v>0</v>
      </c>
    </row>
    <row r="9" spans="2:6">
      <c r="B9" s="99" t="s">
        <v>56</v>
      </c>
      <c r="C9" s="27">
        <f>COUNTIF(Ambulatorio!$E$73:$E$451,"Coopsalud")</f>
        <v>1</v>
      </c>
      <c r="E9" s="99" t="s">
        <v>56</v>
      </c>
      <c r="F9" s="46">
        <f t="shared" si="0"/>
        <v>3.4013605442176869E-3</v>
      </c>
    </row>
    <row r="10" spans="2:6">
      <c r="B10" s="99" t="s">
        <v>57</v>
      </c>
      <c r="C10" s="27">
        <f>COUNTIF(Ambulatorio!$E$73:$E$451,"Emsanar EPS")</f>
        <v>58</v>
      </c>
      <c r="E10" s="99" t="s">
        <v>57</v>
      </c>
      <c r="F10" s="46">
        <f t="shared" si="0"/>
        <v>0.19727891156462585</v>
      </c>
    </row>
    <row r="11" spans="2:6">
      <c r="B11" s="99" t="s">
        <v>58</v>
      </c>
      <c r="C11" s="27">
        <f>COUNTIF(Ambulatorio!$E$73:$E$451,"EPS Convida")</f>
        <v>0</v>
      </c>
      <c r="E11" s="99" t="s">
        <v>58</v>
      </c>
      <c r="F11" s="46">
        <f t="shared" si="0"/>
        <v>0</v>
      </c>
    </row>
    <row r="12" spans="2:6">
      <c r="B12" s="99" t="s">
        <v>59</v>
      </c>
      <c r="C12" s="27">
        <f>COUNTIF(Ambulatorio!$E$73:$E$451,"Famisanar")</f>
        <v>11</v>
      </c>
      <c r="E12" s="99" t="s">
        <v>59</v>
      </c>
      <c r="F12" s="46">
        <f t="shared" si="0"/>
        <v>3.7414965986394558E-2</v>
      </c>
    </row>
    <row r="13" spans="2:6">
      <c r="B13" s="99" t="s">
        <v>60</v>
      </c>
      <c r="C13" s="27">
        <f>COUNTIF(Ambulatorio!$E$73:$E$451,"Fuerzas Militares")</f>
        <v>19</v>
      </c>
      <c r="E13" s="99" t="s">
        <v>60</v>
      </c>
      <c r="F13" s="46">
        <f t="shared" si="0"/>
        <v>6.4625850340136057E-2</v>
      </c>
    </row>
    <row r="14" spans="2:6">
      <c r="B14" s="99" t="s">
        <v>61</v>
      </c>
      <c r="C14" s="27">
        <f>COUNTIF(Ambulatorio!$E$73:$E$451,"Nueva EPS")</f>
        <v>150</v>
      </c>
      <c r="E14" s="99" t="s">
        <v>61</v>
      </c>
      <c r="F14" s="46">
        <f t="shared" si="0"/>
        <v>0.51020408163265307</v>
      </c>
    </row>
    <row r="15" spans="2:6">
      <c r="B15" s="99" t="s">
        <v>62</v>
      </c>
      <c r="C15" s="27">
        <f>COUNTIF(Ambulatorio!$E$73:$E$451,"S.O.S.")</f>
        <v>28</v>
      </c>
      <c r="E15" s="99" t="s">
        <v>62</v>
      </c>
      <c r="F15" s="46">
        <f t="shared" si="0"/>
        <v>9.5238095238095233E-2</v>
      </c>
    </row>
    <row r="16" spans="2:6">
      <c r="B16" s="99" t="s">
        <v>63</v>
      </c>
      <c r="C16" s="27">
        <f>COUNTIF(Ambulatorio!$E$73:$E$451,"Sanitas EPS")</f>
        <v>9</v>
      </c>
      <c r="E16" s="99" t="s">
        <v>63</v>
      </c>
      <c r="F16" s="46">
        <f t="shared" si="0"/>
        <v>3.0612244897959183E-2</v>
      </c>
    </row>
    <row r="17" spans="2:6">
      <c r="B17" s="99" t="s">
        <v>64</v>
      </c>
      <c r="C17" s="27">
        <f>COUNTIF(Ambulatorio!$E$73:$E$451,"Soat")</f>
        <v>3</v>
      </c>
      <c r="E17" s="99" t="s">
        <v>64</v>
      </c>
      <c r="F17" s="46">
        <f t="shared" si="0"/>
        <v>1.020408163265306E-2</v>
      </c>
    </row>
    <row r="18" spans="2:6">
      <c r="B18" s="99" t="s">
        <v>65</v>
      </c>
      <c r="C18" s="27">
        <f>COUNTIF(Ambulatorio!$E$73:$E$451,"Sura EPS")</f>
        <v>3</v>
      </c>
      <c r="E18" s="99" t="s">
        <v>65</v>
      </c>
      <c r="F18" s="46">
        <f t="shared" si="0"/>
        <v>1.020408163265306E-2</v>
      </c>
    </row>
    <row r="19" spans="2:6">
      <c r="B19" s="99" t="s">
        <v>66</v>
      </c>
      <c r="C19" s="27">
        <f>COUNTIF(Ambulatorio!$E$73:$E$451,"Salud Total S.A. EPS")</f>
        <v>3</v>
      </c>
      <c r="E19" s="99" t="s">
        <v>67</v>
      </c>
      <c r="F19" s="46">
        <f t="shared" si="0"/>
        <v>1.020408163265306E-2</v>
      </c>
    </row>
    <row r="20" spans="2:6">
      <c r="B20" s="99" t="s">
        <v>67</v>
      </c>
      <c r="C20" s="27">
        <f>COUNTIF(Ambulatorio!$E$73:$E$451,"Salud Vida SA EPS")</f>
        <v>0</v>
      </c>
      <c r="E20" s="99" t="s">
        <v>67</v>
      </c>
      <c r="F20" s="46">
        <f t="shared" si="0"/>
        <v>0</v>
      </c>
    </row>
    <row r="21" spans="2:6">
      <c r="B21" s="99" t="s">
        <v>68</v>
      </c>
      <c r="C21" s="27">
        <f>COUNTIF(Ambulatorio!$E$73:$E$451,"Vinculados")</f>
        <v>0</v>
      </c>
      <c r="E21" s="99" t="s">
        <v>68</v>
      </c>
      <c r="F21" s="46">
        <f t="shared" si="0"/>
        <v>0</v>
      </c>
    </row>
    <row r="22" spans="2:6">
      <c r="B22" s="99"/>
      <c r="C22" s="27">
        <f>COUNTIF(Ambulatorio!$E$73:$E$451,"56+")</f>
        <v>0</v>
      </c>
      <c r="E22" s="27"/>
      <c r="F22" s="46"/>
    </row>
    <row r="23" spans="2:6">
      <c r="B23" s="99"/>
      <c r="C23" s="27">
        <f>COUNTIF(Ambulatorio!$E$73:$E$451,"56+")</f>
        <v>0</v>
      </c>
      <c r="E23" s="27"/>
      <c r="F23" s="46"/>
    </row>
    <row r="24" spans="2:6">
      <c r="B24" s="99"/>
      <c r="C24" s="27">
        <f>COUNTIF(Ambulatorio!$E$73:$E$451,"56+")</f>
        <v>0</v>
      </c>
      <c r="E24" s="27"/>
      <c r="F24" s="46"/>
    </row>
    <row r="25" spans="2:6">
      <c r="C25" s="97">
        <f>SUM(C6:C24)</f>
        <v>293</v>
      </c>
    </row>
    <row r="31" spans="2:6">
      <c r="B31" t="s">
        <v>27</v>
      </c>
      <c r="C31" s="25">
        <v>53</v>
      </c>
    </row>
    <row r="32" spans="2:6">
      <c r="B32" s="170" t="s">
        <v>15</v>
      </c>
      <c r="C32" s="170"/>
      <c r="D32" s="170"/>
      <c r="E32" s="170"/>
      <c r="F32" s="170"/>
    </row>
    <row r="33" spans="2:6">
      <c r="B33" s="171" t="s">
        <v>52</v>
      </c>
      <c r="C33" s="171"/>
      <c r="E33" s="171" t="s">
        <v>52</v>
      </c>
      <c r="F33" s="171"/>
    </row>
    <row r="34" spans="2:6">
      <c r="B34" s="101" t="s">
        <v>29</v>
      </c>
      <c r="C34" s="101" t="s">
        <v>30</v>
      </c>
      <c r="E34" s="101" t="s">
        <v>29</v>
      </c>
      <c r="F34" s="101" t="s">
        <v>31</v>
      </c>
    </row>
    <row r="35" spans="2:6">
      <c r="B35" s="99" t="s">
        <v>53</v>
      </c>
      <c r="C35" s="27">
        <f>COUNTIF(Hospitalización!$E$3:$E$501,"AsmetSalud")</f>
        <v>2</v>
      </c>
      <c r="D35" s="28"/>
      <c r="E35" s="99" t="s">
        <v>53</v>
      </c>
      <c r="F35" s="46">
        <f>+C35/$C$31</f>
        <v>3.7735849056603772E-2</v>
      </c>
    </row>
    <row r="36" spans="2:6" ht="16.5" customHeight="1">
      <c r="B36" s="100" t="s">
        <v>54</v>
      </c>
      <c r="C36" s="27">
        <f>COUNTIF(Hospitalización!$E$3:$E$501,"compensar")</f>
        <v>0</v>
      </c>
      <c r="E36" s="100" t="s">
        <v>54</v>
      </c>
      <c r="F36" s="46">
        <f t="shared" ref="F36:F51" si="1">+C36/$C$31</f>
        <v>0</v>
      </c>
    </row>
    <row r="37" spans="2:6">
      <c r="B37" s="99" t="s">
        <v>55</v>
      </c>
      <c r="C37" s="27">
        <f>COUNTIF(Hospitalización!$E$3:$E$501,"coomeva EPS")</f>
        <v>0</v>
      </c>
      <c r="E37" s="99" t="s">
        <v>55</v>
      </c>
      <c r="F37" s="46">
        <f t="shared" si="1"/>
        <v>0</v>
      </c>
    </row>
    <row r="38" spans="2:6">
      <c r="B38" s="99" t="s">
        <v>56</v>
      </c>
      <c r="C38" s="27">
        <f>COUNTIF(Hospitalización!$E$3:$E$501,"Coopsalud")</f>
        <v>1</v>
      </c>
      <c r="E38" s="99" t="s">
        <v>56</v>
      </c>
      <c r="F38" s="46">
        <f t="shared" si="1"/>
        <v>1.8867924528301886E-2</v>
      </c>
    </row>
    <row r="39" spans="2:6">
      <c r="B39" s="99" t="s">
        <v>57</v>
      </c>
      <c r="C39" s="27">
        <f>COUNTIF(Hospitalización!$E$3:$E$501,"Emsanar EPS")</f>
        <v>17</v>
      </c>
      <c r="E39" s="99" t="s">
        <v>57</v>
      </c>
      <c r="F39" s="46">
        <f t="shared" si="1"/>
        <v>0.32075471698113206</v>
      </c>
    </row>
    <row r="40" spans="2:6">
      <c r="B40" s="99" t="s">
        <v>58</v>
      </c>
      <c r="C40" s="27">
        <f>COUNTIF(Hospitalización!$E$3:$E$501,"EPS Convida")</f>
        <v>0</v>
      </c>
      <c r="E40" s="99" t="s">
        <v>58</v>
      </c>
      <c r="F40" s="46">
        <f t="shared" si="1"/>
        <v>0</v>
      </c>
    </row>
    <row r="41" spans="2:6">
      <c r="B41" s="99" t="s">
        <v>59</v>
      </c>
      <c r="C41" s="27">
        <f>COUNTIF(Hospitalización!$E$3:$E$501,"Famisanar")</f>
        <v>0</v>
      </c>
      <c r="E41" s="99" t="s">
        <v>59</v>
      </c>
      <c r="F41" s="46">
        <f t="shared" si="1"/>
        <v>0</v>
      </c>
    </row>
    <row r="42" spans="2:6">
      <c r="B42" s="99" t="s">
        <v>60</v>
      </c>
      <c r="C42" s="27">
        <f>COUNTIF(Hospitalización!$E$3:$E$501,"Fuerzas Militares")</f>
        <v>2</v>
      </c>
      <c r="E42" s="99" t="s">
        <v>60</v>
      </c>
      <c r="F42" s="46">
        <f t="shared" si="1"/>
        <v>3.7735849056603772E-2</v>
      </c>
    </row>
    <row r="43" spans="2:6">
      <c r="B43" s="99" t="s">
        <v>61</v>
      </c>
      <c r="C43" s="27">
        <f>COUNTIF(Hospitalización!$E$3:$E$501,"Nueva EPS")</f>
        <v>19</v>
      </c>
      <c r="E43" s="99" t="s">
        <v>61</v>
      </c>
      <c r="F43" s="46">
        <f t="shared" si="1"/>
        <v>0.35849056603773582</v>
      </c>
    </row>
    <row r="44" spans="2:6">
      <c r="B44" s="99" t="s">
        <v>62</v>
      </c>
      <c r="C44" s="27">
        <f>COUNTIF(Hospitalización!$E$3:$E$501,"S.O.S.")</f>
        <v>4</v>
      </c>
      <c r="E44" s="99" t="s">
        <v>62</v>
      </c>
      <c r="F44" s="46">
        <f t="shared" si="1"/>
        <v>7.5471698113207544E-2</v>
      </c>
    </row>
    <row r="45" spans="2:6">
      <c r="B45" s="99" t="s">
        <v>63</v>
      </c>
      <c r="C45" s="27">
        <f>COUNTIF(Hospitalización!$E$3:$E$501,"Sanitas EPS")</f>
        <v>2</v>
      </c>
      <c r="E45" s="99" t="s">
        <v>63</v>
      </c>
      <c r="F45" s="46">
        <f t="shared" si="1"/>
        <v>3.7735849056603772E-2</v>
      </c>
    </row>
    <row r="46" spans="2:6">
      <c r="B46" s="99" t="s">
        <v>64</v>
      </c>
      <c r="C46" s="27">
        <f>COUNTIF(Hospitalización!$E$3:$E$501,"Soat")</f>
        <v>0</v>
      </c>
      <c r="E46" s="99" t="s">
        <v>64</v>
      </c>
      <c r="F46" s="46">
        <f t="shared" si="1"/>
        <v>0</v>
      </c>
    </row>
    <row r="47" spans="2:6">
      <c r="B47" s="99" t="s">
        <v>65</v>
      </c>
      <c r="C47" s="27">
        <f>COUNTIF(Hospitalización!$E$3:$E$501,"Sura EPS")</f>
        <v>1</v>
      </c>
      <c r="E47" s="99" t="s">
        <v>65</v>
      </c>
      <c r="F47" s="46">
        <f t="shared" si="1"/>
        <v>1.8867924528301886E-2</v>
      </c>
    </row>
    <row r="48" spans="2:6">
      <c r="B48" s="99" t="s">
        <v>67</v>
      </c>
      <c r="C48" s="27">
        <f>COUNTIF(Hospitalización!$E$3:$E$501,"Saludvida SA EPS")</f>
        <v>0</v>
      </c>
      <c r="E48" s="99" t="s">
        <v>67</v>
      </c>
      <c r="F48" s="46">
        <f t="shared" si="1"/>
        <v>0</v>
      </c>
    </row>
    <row r="49" spans="1:6">
      <c r="B49" s="99" t="s">
        <v>68</v>
      </c>
      <c r="C49" s="27">
        <f>COUNTIF(Hospitalización!$E$3:$E$501,"Vinculados")</f>
        <v>0</v>
      </c>
      <c r="E49" s="99" t="s">
        <v>68</v>
      </c>
      <c r="F49" s="46">
        <f t="shared" si="1"/>
        <v>0</v>
      </c>
    </row>
    <row r="50" spans="1:6">
      <c r="B50" s="99" t="s">
        <v>69</v>
      </c>
      <c r="C50" s="27">
        <f>COUNTIF(Hospitalización!$E$3:$E$501,"Selvasalud SA EPS")</f>
        <v>0</v>
      </c>
      <c r="E50" s="99" t="s">
        <v>69</v>
      </c>
      <c r="F50" s="46">
        <f t="shared" si="1"/>
        <v>0</v>
      </c>
    </row>
    <row r="51" spans="1:6">
      <c r="B51" s="99" t="s">
        <v>70</v>
      </c>
      <c r="C51" s="27">
        <f>COUNTIF(Hospitalización!$E$3:$E$501,"Asoc. Indígenas del Cauca")</f>
        <v>0</v>
      </c>
      <c r="E51" s="99" t="s">
        <v>70</v>
      </c>
      <c r="F51" s="46">
        <f t="shared" si="1"/>
        <v>0</v>
      </c>
    </row>
    <row r="52" spans="1:6">
      <c r="B52" s="99"/>
      <c r="C52" s="27"/>
      <c r="E52" s="27"/>
      <c r="F52" s="46"/>
    </row>
    <row r="53" spans="1:6">
      <c r="B53" s="99"/>
      <c r="C53" s="27"/>
      <c r="E53" s="27"/>
      <c r="F53" s="46"/>
    </row>
    <row r="54" spans="1:6">
      <c r="B54" s="99"/>
      <c r="C54" s="27"/>
      <c r="E54" s="27"/>
      <c r="F54" s="46"/>
    </row>
    <row r="55" spans="1:6">
      <c r="C55" s="97">
        <f>SUM(C35:C54)</f>
        <v>48</v>
      </c>
    </row>
    <row r="63" spans="1:6">
      <c r="A63" s="164" t="s">
        <v>41</v>
      </c>
      <c r="B63" s="164"/>
      <c r="C63" s="164"/>
    </row>
    <row r="64" spans="1:6">
      <c r="A64" s="165" t="s">
        <v>52</v>
      </c>
      <c r="B64" s="166"/>
      <c r="C64" s="167"/>
    </row>
    <row r="65" spans="1:3">
      <c r="A65" s="102" t="s">
        <v>29</v>
      </c>
      <c r="B65" s="103" t="s">
        <v>42</v>
      </c>
      <c r="C65" s="16" t="s">
        <v>43</v>
      </c>
    </row>
    <row r="66" spans="1:3">
      <c r="A66" s="99" t="s">
        <v>71</v>
      </c>
      <c r="B66" s="46">
        <f t="shared" ref="B66:B80" si="2">F6</f>
        <v>2.7210884353741496E-2</v>
      </c>
      <c r="C66" s="46">
        <f>F35</f>
        <v>3.7735849056603772E-2</v>
      </c>
    </row>
    <row r="67" spans="1:3" ht="18.75" customHeight="1">
      <c r="A67" s="100" t="s">
        <v>54</v>
      </c>
      <c r="B67" s="46">
        <f t="shared" si="2"/>
        <v>0</v>
      </c>
      <c r="C67" s="46">
        <f t="shared" ref="C67:C80" si="3">F36</f>
        <v>0</v>
      </c>
    </row>
    <row r="68" spans="1:3">
      <c r="A68" s="99" t="s">
        <v>55</v>
      </c>
      <c r="B68" s="46">
        <f t="shared" si="2"/>
        <v>0</v>
      </c>
      <c r="C68" s="46">
        <f t="shared" si="3"/>
        <v>0</v>
      </c>
    </row>
    <row r="69" spans="1:3">
      <c r="A69" s="99" t="s">
        <v>56</v>
      </c>
      <c r="B69" s="46">
        <f t="shared" si="2"/>
        <v>3.4013605442176869E-3</v>
      </c>
      <c r="C69" s="46">
        <f t="shared" si="3"/>
        <v>1.8867924528301886E-2</v>
      </c>
    </row>
    <row r="70" spans="1:3">
      <c r="A70" s="99" t="s">
        <v>57</v>
      </c>
      <c r="B70" s="46">
        <f t="shared" si="2"/>
        <v>0.19727891156462585</v>
      </c>
      <c r="C70" s="46">
        <f t="shared" si="3"/>
        <v>0.32075471698113206</v>
      </c>
    </row>
    <row r="71" spans="1:3">
      <c r="A71" s="99" t="s">
        <v>58</v>
      </c>
      <c r="B71" s="46">
        <f t="shared" si="2"/>
        <v>0</v>
      </c>
      <c r="C71" s="46">
        <f t="shared" si="3"/>
        <v>0</v>
      </c>
    </row>
    <row r="72" spans="1:3">
      <c r="A72" s="99" t="s">
        <v>59</v>
      </c>
      <c r="B72" s="46">
        <f t="shared" si="2"/>
        <v>3.7414965986394558E-2</v>
      </c>
      <c r="C72" s="46">
        <f t="shared" si="3"/>
        <v>0</v>
      </c>
    </row>
    <row r="73" spans="1:3">
      <c r="A73" s="99" t="s">
        <v>60</v>
      </c>
      <c r="B73" s="46">
        <f t="shared" si="2"/>
        <v>6.4625850340136057E-2</v>
      </c>
      <c r="C73" s="46">
        <f t="shared" si="3"/>
        <v>3.7735849056603772E-2</v>
      </c>
    </row>
    <row r="74" spans="1:3">
      <c r="A74" s="99" t="s">
        <v>61</v>
      </c>
      <c r="B74" s="46">
        <f t="shared" si="2"/>
        <v>0.51020408163265307</v>
      </c>
      <c r="C74" s="46">
        <f t="shared" si="3"/>
        <v>0.35849056603773582</v>
      </c>
    </row>
    <row r="75" spans="1:3">
      <c r="A75" s="99" t="s">
        <v>62</v>
      </c>
      <c r="B75" s="46">
        <f t="shared" si="2"/>
        <v>9.5238095238095233E-2</v>
      </c>
      <c r="C75" s="46">
        <f t="shared" si="3"/>
        <v>7.5471698113207544E-2</v>
      </c>
    </row>
    <row r="76" spans="1:3">
      <c r="A76" s="99" t="s">
        <v>63</v>
      </c>
      <c r="B76" s="46">
        <f t="shared" si="2"/>
        <v>3.0612244897959183E-2</v>
      </c>
      <c r="C76" s="46">
        <f t="shared" si="3"/>
        <v>3.7735849056603772E-2</v>
      </c>
    </row>
    <row r="77" spans="1:3">
      <c r="A77" s="99" t="s">
        <v>64</v>
      </c>
      <c r="B77" s="46">
        <f t="shared" si="2"/>
        <v>1.020408163265306E-2</v>
      </c>
      <c r="C77" s="46">
        <f t="shared" si="3"/>
        <v>0</v>
      </c>
    </row>
    <row r="78" spans="1:3">
      <c r="A78" s="99" t="s">
        <v>65</v>
      </c>
      <c r="B78" s="46">
        <f t="shared" si="2"/>
        <v>1.020408163265306E-2</v>
      </c>
      <c r="C78" s="46">
        <f t="shared" si="3"/>
        <v>1.8867924528301886E-2</v>
      </c>
    </row>
    <row r="79" spans="1:3">
      <c r="A79" s="99" t="s">
        <v>67</v>
      </c>
      <c r="B79" s="46">
        <f t="shared" si="2"/>
        <v>1.020408163265306E-2</v>
      </c>
      <c r="C79" s="46">
        <f t="shared" si="3"/>
        <v>0</v>
      </c>
    </row>
    <row r="80" spans="1:3">
      <c r="A80" s="99" t="s">
        <v>68</v>
      </c>
      <c r="B80" s="46">
        <f t="shared" si="2"/>
        <v>0</v>
      </c>
      <c r="C80" s="46">
        <f t="shared" si="3"/>
        <v>0</v>
      </c>
    </row>
  </sheetData>
  <mergeCells count="8">
    <mergeCell ref="A63:C63"/>
    <mergeCell ref="A64:C64"/>
    <mergeCell ref="B3:F3"/>
    <mergeCell ref="B4:C4"/>
    <mergeCell ref="E4:F4"/>
    <mergeCell ref="B32:F32"/>
    <mergeCell ref="B33:C33"/>
    <mergeCell ref="E33:F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"/>
  <sheetViews>
    <sheetView workbookViewId="0">
      <selection activeCell="C25" sqref="C25"/>
    </sheetView>
  </sheetViews>
  <sheetFormatPr baseColWidth="10" defaultColWidth="11" defaultRowHeight="14.4"/>
  <cols>
    <col min="1" max="1" width="19.109375" customWidth="1"/>
    <col min="2" max="2" width="26.6640625" customWidth="1"/>
    <col min="4" max="4" width="2.33203125" customWidth="1"/>
    <col min="5" max="5" width="28" customWidth="1"/>
  </cols>
  <sheetData>
    <row r="2" spans="2:6">
      <c r="B2" t="s">
        <v>27</v>
      </c>
      <c r="C2">
        <f>COUNT(Ambulatorio!A73:A451)</f>
        <v>294</v>
      </c>
    </row>
    <row r="3" spans="2:6">
      <c r="B3" s="168" t="s">
        <v>1</v>
      </c>
      <c r="C3" s="168"/>
      <c r="D3" s="168"/>
      <c r="E3" s="168"/>
      <c r="F3" s="168"/>
    </row>
    <row r="4" spans="2:6">
      <c r="B4" s="172" t="s">
        <v>72</v>
      </c>
      <c r="C4" s="173"/>
      <c r="D4" s="173"/>
      <c r="E4" s="173"/>
      <c r="F4" s="174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73</v>
      </c>
      <c r="C6" s="27">
        <f>COUNTIF(Ambulatorio!$G$73:$G$451,"Tuluá")</f>
        <v>202</v>
      </c>
      <c r="D6" s="28"/>
      <c r="E6" s="99" t="s">
        <v>73</v>
      </c>
      <c r="F6" s="46">
        <f>+C6/$C$2</f>
        <v>0.68707482993197277</v>
      </c>
    </row>
    <row r="7" spans="2:6" ht="14.25" customHeight="1">
      <c r="B7" s="100" t="s">
        <v>74</v>
      </c>
      <c r="C7" s="27">
        <f>COUNTIF(Ambulatorio!$G$73:$G$451,"Otros Municipios")</f>
        <v>60</v>
      </c>
      <c r="E7" s="100" t="s">
        <v>74</v>
      </c>
      <c r="F7" s="46">
        <f>+C7/$C$2</f>
        <v>0.20408163265306123</v>
      </c>
    </row>
    <row r="8" spans="2:6">
      <c r="B8" s="99" t="s">
        <v>75</v>
      </c>
      <c r="C8" s="27">
        <f>COUNTIF(Ambulatorio!$G$73:$G$451,"Zona Rural de Tuluá")</f>
        <v>32</v>
      </c>
      <c r="E8" s="99" t="s">
        <v>75</v>
      </c>
      <c r="F8" s="46">
        <f>+C8/$C$2</f>
        <v>0.10884353741496598</v>
      </c>
    </row>
    <row r="9" spans="2:6">
      <c r="C9" s="97">
        <f>SUM(C6:C8)</f>
        <v>294</v>
      </c>
    </row>
    <row r="15" spans="2:6">
      <c r="B15" t="s">
        <v>27</v>
      </c>
      <c r="C15" s="25">
        <f>COUNTA(Hospitalización!$A$3:$A$501)</f>
        <v>49</v>
      </c>
    </row>
    <row r="16" spans="2:6">
      <c r="B16" s="170" t="s">
        <v>15</v>
      </c>
      <c r="C16" s="170"/>
      <c r="D16" s="170"/>
      <c r="E16" s="170"/>
      <c r="F16" s="170"/>
    </row>
    <row r="17" spans="1:6">
      <c r="B17" s="175" t="s">
        <v>72</v>
      </c>
      <c r="C17" s="176"/>
      <c r="D17" s="176"/>
      <c r="E17" s="176"/>
      <c r="F17" s="177"/>
    </row>
    <row r="18" spans="1:6">
      <c r="B18" s="101" t="s">
        <v>29</v>
      </c>
      <c r="C18" s="101" t="s">
        <v>30</v>
      </c>
      <c r="E18" s="101" t="s">
        <v>29</v>
      </c>
      <c r="F18" s="101" t="s">
        <v>31</v>
      </c>
    </row>
    <row r="19" spans="1:6">
      <c r="B19" s="99" t="s">
        <v>73</v>
      </c>
      <c r="C19" s="27">
        <f>COUNTIF(Hospitalización!$G$3:$G$501,"Tuluá")</f>
        <v>31</v>
      </c>
      <c r="D19" s="28"/>
      <c r="E19" s="99" t="s">
        <v>73</v>
      </c>
      <c r="F19" s="46">
        <f>+C19/$C$15</f>
        <v>0.63265306122448983</v>
      </c>
    </row>
    <row r="20" spans="1:6" ht="16.5" customHeight="1">
      <c r="B20" s="100" t="s">
        <v>74</v>
      </c>
      <c r="C20" s="27">
        <f>COUNTIF(Hospitalización!$G$3:$G$501,"Otros municipios")</f>
        <v>12</v>
      </c>
      <c r="E20" s="100" t="s">
        <v>76</v>
      </c>
      <c r="F20" s="46">
        <f>+C20/$C$15</f>
        <v>0.24489795918367346</v>
      </c>
    </row>
    <row r="21" spans="1:6">
      <c r="B21" s="99" t="s">
        <v>77</v>
      </c>
      <c r="C21" s="27">
        <f>COUNTIF(Hospitalización!$G$3:$G$501,"Zona Rural de Tuluá")</f>
        <v>6</v>
      </c>
      <c r="E21" s="99" t="s">
        <v>75</v>
      </c>
      <c r="F21" s="46">
        <f>+C21/$C$15</f>
        <v>0.12244897959183673</v>
      </c>
    </row>
    <row r="22" spans="1:6">
      <c r="C22" s="97">
        <f>SUM(C19:C21)</f>
        <v>49</v>
      </c>
    </row>
    <row r="30" spans="1:6">
      <c r="A30" s="164" t="s">
        <v>41</v>
      </c>
      <c r="B30" s="164"/>
      <c r="C30" s="164"/>
    </row>
    <row r="31" spans="1:6">
      <c r="A31" s="165" t="s">
        <v>72</v>
      </c>
      <c r="B31" s="166"/>
      <c r="C31" s="167"/>
    </row>
    <row r="32" spans="1:6">
      <c r="A32" s="102" t="s">
        <v>29</v>
      </c>
      <c r="B32" s="103" t="s">
        <v>42</v>
      </c>
      <c r="C32" s="16" t="s">
        <v>43</v>
      </c>
    </row>
    <row r="33" spans="1:3">
      <c r="A33" s="99" t="s">
        <v>73</v>
      </c>
      <c r="B33" s="104">
        <f>F6</f>
        <v>0.68707482993197277</v>
      </c>
      <c r="C33" s="46">
        <f>F19</f>
        <v>0.63265306122448983</v>
      </c>
    </row>
    <row r="34" spans="1:3" ht="18" customHeight="1">
      <c r="A34" s="100" t="s">
        <v>78</v>
      </c>
      <c r="B34" s="104">
        <f>F7</f>
        <v>0.20408163265306123</v>
      </c>
      <c r="C34" s="46">
        <f>F20</f>
        <v>0.24489795918367346</v>
      </c>
    </row>
    <row r="35" spans="1:3">
      <c r="A35" s="99" t="s">
        <v>75</v>
      </c>
      <c r="B35" s="104">
        <f>F8</f>
        <v>0.10884353741496598</v>
      </c>
      <c r="C35" s="46">
        <f>F21</f>
        <v>0.12244897959183673</v>
      </c>
    </row>
  </sheetData>
  <mergeCells count="6">
    <mergeCell ref="A31:C31"/>
    <mergeCell ref="B3:F3"/>
    <mergeCell ref="B4:F4"/>
    <mergeCell ref="B16:F16"/>
    <mergeCell ref="B17:F17"/>
    <mergeCell ref="A30:C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Ambulatorio</vt:lpstr>
      <vt:lpstr>Hospitalización</vt:lpstr>
      <vt:lpstr>RECOMENDARIA</vt:lpstr>
      <vt:lpstr>SATISFACCIÓN </vt:lpstr>
      <vt:lpstr>EDAD</vt:lpstr>
      <vt:lpstr>SEXO</vt:lpstr>
      <vt:lpstr>REGIMEN</vt:lpstr>
      <vt:lpstr>EPS</vt:lpstr>
      <vt:lpstr>RESIDENCIA</vt:lpstr>
      <vt:lpstr>CONDICIONES</vt:lpstr>
      <vt:lpstr>COND-CUENTA</vt:lpstr>
      <vt:lpstr>RESPETO</vt:lpstr>
      <vt:lpstr>RESP-SERV-AMB</vt:lpstr>
      <vt:lpstr>RESP-SERV-HOS</vt:lpstr>
      <vt:lpstr>CONFORT-AMB</vt:lpstr>
      <vt:lpstr>CONFORT-HOS</vt:lpstr>
      <vt:lpstr>COMUN-AMBU</vt:lpstr>
      <vt:lpstr>COMUN-HOSP</vt:lpstr>
      <vt:lpstr>TIEMPO-AMB</vt:lpstr>
      <vt:lpstr>TIEMPO-HOS</vt:lpstr>
      <vt:lpstr>DERECHOS Y D</vt:lpstr>
      <vt:lpstr>RESIDUOS</vt:lpstr>
      <vt:lpstr>CANALES</vt:lpstr>
      <vt:lpstr>EVENTOS</vt:lpstr>
      <vt:lpstr>D  Y D</vt:lpstr>
      <vt:lpstr>RUTAS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SIAU. ATENCIÒN AL USUARIO</dc:creator>
  <cp:lastModifiedBy>ATENCION USUARIO HDTUU</cp:lastModifiedBy>
  <dcterms:created xsi:type="dcterms:W3CDTF">2023-08-02T22:35:00Z</dcterms:created>
  <dcterms:modified xsi:type="dcterms:W3CDTF">2026-04-01T13:31:34Z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D23AA1D244834AA1AC89BEBB75169472_13</vt:lpwstr>
  </property>
  <property fmtid="{D5CDD505-2E9C-101B-9397-08002B2CF9AE}" pid="3" name="KSOProductBuildVer">
    <vt:lpwstr>1033-12.2.0.13359</vt:lpwstr>
  </property>
</Properties>
</file>